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9735" yWindow="465" windowWidth="40920" windowHeight="23475" activeTab="3"/>
  </bookViews>
  <sheets>
    <sheet name="Concepts" sheetId="1" r:id="rId1"/>
    <sheet name="Options" sheetId="2" r:id="rId2"/>
    <sheet name="Lego Blocks" sheetId="9" r:id="rId3"/>
    <sheet name="Sci-Comp" sheetId="10" r:id="rId4"/>
  </sheets>
  <externalReferences>
    <externalReference r:id="rId5"/>
  </externalReferences>
  <definedNames>
    <definedName name="AE_BandProperties">'[1]Antenna Electronics'!$V$15:$Y$24</definedName>
    <definedName name="Antenna_Diameter">[1]Antenna!$F$4</definedName>
    <definedName name="Baseline_Max">'[1]Array Configuration'!$J$10</definedName>
    <definedName name="Computing_Taper">[1]Antenna!$F$7</definedName>
    <definedName name="Science_BenchmarkInt">[1]Science!$I$3</definedName>
    <definedName name="Science_BenchmarkSensitivity">[1]Science!$I$2</definedName>
    <definedName name="Science_Sensitivity">[1]Science!$K$6:$O$16</definedName>
    <definedName name="Science_VelocityResolution">[1]Science!$I$4</definedName>
    <definedName name="Speed_of_light">Concepts!$Q$9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1" i="2"/>
  <c r="C21" i="2"/>
  <c r="G58" i="1"/>
  <c r="F60" i="1"/>
  <c r="G60" i="1"/>
  <c r="F59" i="1"/>
  <c r="G59" i="1"/>
  <c r="C42" i="1"/>
  <c r="B42" i="1"/>
  <c r="C23" i="2"/>
  <c r="C12" i="2"/>
  <c r="B12" i="2"/>
  <c r="D61" i="1"/>
  <c r="C55" i="1"/>
  <c r="C61" i="1"/>
  <c r="B55" i="1"/>
  <c r="B61" i="1"/>
  <c r="H36" i="1"/>
  <c r="G29" i="1"/>
  <c r="G36" i="1"/>
  <c r="F29" i="1"/>
  <c r="F36" i="1"/>
  <c r="D36" i="1"/>
  <c r="C29" i="1"/>
  <c r="C36" i="1"/>
  <c r="B29" i="1"/>
  <c r="B36" i="1"/>
  <c r="B33" i="1"/>
  <c r="D35" i="1"/>
  <c r="C35" i="1"/>
  <c r="B35" i="1"/>
  <c r="G33" i="1"/>
  <c r="F33" i="1"/>
  <c r="H62" i="1"/>
  <c r="G55" i="1"/>
  <c r="G62" i="1"/>
  <c r="F55" i="1"/>
  <c r="F62" i="1"/>
  <c r="D62" i="1"/>
  <c r="C62" i="1"/>
  <c r="B62" i="1"/>
  <c r="H49" i="1"/>
  <c r="G42" i="1"/>
  <c r="G49" i="1"/>
  <c r="F42" i="1"/>
  <c r="F49" i="1"/>
  <c r="G46" i="1"/>
  <c r="F46" i="1"/>
  <c r="B46" i="1"/>
  <c r="B47" i="1"/>
  <c r="B49" i="1"/>
  <c r="C49" i="1"/>
  <c r="D49" i="1"/>
  <c r="B48" i="1"/>
  <c r="C20" i="2"/>
  <c r="B20" i="2"/>
  <c r="B24" i="2"/>
  <c r="C24" i="2"/>
  <c r="C9" i="2"/>
  <c r="D9" i="9"/>
  <c r="F9" i="9"/>
  <c r="B9" i="2"/>
  <c r="C9" i="9"/>
  <c r="E9" i="9"/>
  <c r="C8" i="2"/>
  <c r="D8" i="9"/>
  <c r="F8" i="9"/>
  <c r="B8" i="2"/>
  <c r="C8" i="9"/>
  <c r="E8" i="9"/>
  <c r="E9" i="2"/>
  <c r="D9" i="2"/>
  <c r="E8" i="2"/>
  <c r="D8" i="2"/>
  <c r="A3" i="10"/>
  <c r="A1" i="10"/>
  <c r="A3" i="9"/>
  <c r="A1" i="9"/>
  <c r="G18" i="9"/>
  <c r="D18" i="9"/>
  <c r="F18" i="9"/>
  <c r="C18" i="9"/>
  <c r="E18" i="9"/>
  <c r="A18" i="9"/>
  <c r="E20" i="2"/>
  <c r="D20" i="2"/>
  <c r="C18" i="2"/>
  <c r="E18" i="2"/>
  <c r="C17" i="2"/>
  <c r="E17" i="2"/>
  <c r="B18" i="2"/>
  <c r="D18" i="2"/>
  <c r="B17" i="2"/>
  <c r="D17" i="2"/>
  <c r="C19" i="9"/>
  <c r="E19" i="9"/>
  <c r="D19" i="9"/>
  <c r="F19" i="9"/>
  <c r="B22" i="2"/>
  <c r="C20" i="9"/>
  <c r="E20" i="9"/>
  <c r="C22" i="2"/>
  <c r="D20" i="9"/>
  <c r="F20" i="9"/>
  <c r="C21" i="9"/>
  <c r="E21" i="9"/>
  <c r="D21" i="9"/>
  <c r="F21" i="9"/>
  <c r="C22" i="9"/>
  <c r="E22" i="9"/>
  <c r="D22" i="9"/>
  <c r="F22" i="9"/>
  <c r="F23" i="9"/>
  <c r="G11" i="9"/>
  <c r="G12" i="9"/>
  <c r="G13" i="9"/>
  <c r="G14" i="9"/>
  <c r="G15" i="9"/>
  <c r="G16" i="9"/>
  <c r="G17" i="9"/>
  <c r="G19" i="9"/>
  <c r="G20" i="9"/>
  <c r="G21" i="9"/>
  <c r="G22" i="9"/>
  <c r="G10" i="9"/>
  <c r="A10" i="9"/>
  <c r="C10" i="2"/>
  <c r="D10" i="9"/>
  <c r="F10" i="9"/>
  <c r="C11" i="2"/>
  <c r="D11" i="9"/>
  <c r="F11" i="9"/>
  <c r="D7" i="9"/>
  <c r="F7" i="9"/>
  <c r="D12" i="9"/>
  <c r="F12" i="9"/>
  <c r="C13" i="2"/>
  <c r="D13" i="9"/>
  <c r="F13" i="9"/>
  <c r="C14" i="2"/>
  <c r="D14" i="9"/>
  <c r="F14" i="9"/>
  <c r="C15" i="2"/>
  <c r="C16" i="2"/>
  <c r="D15" i="9"/>
  <c r="F15" i="9"/>
  <c r="D16" i="9"/>
  <c r="F16" i="9"/>
  <c r="C19" i="2"/>
  <c r="D17" i="9"/>
  <c r="F17" i="9"/>
  <c r="F24" i="9"/>
  <c r="F25" i="9"/>
  <c r="B10" i="2"/>
  <c r="C10" i="9"/>
  <c r="E10" i="9"/>
  <c r="B11" i="2"/>
  <c r="C11" i="9"/>
  <c r="E11" i="9"/>
  <c r="C7" i="9"/>
  <c r="E7" i="9"/>
  <c r="C12" i="9"/>
  <c r="E12" i="9"/>
  <c r="B13" i="2"/>
  <c r="C13" i="9"/>
  <c r="E13" i="9"/>
  <c r="B14" i="2"/>
  <c r="C14" i="9"/>
  <c r="E14" i="9"/>
  <c r="B15" i="2"/>
  <c r="B16" i="2"/>
  <c r="C15" i="9"/>
  <c r="E15" i="9"/>
  <c r="C16" i="9"/>
  <c r="E16" i="9"/>
  <c r="C17" i="9"/>
  <c r="E17" i="9"/>
  <c r="E23" i="9"/>
  <c r="E24" i="9"/>
  <c r="E25" i="9"/>
  <c r="E10" i="2"/>
  <c r="A22" i="9"/>
  <c r="A21" i="9"/>
  <c r="A20" i="9"/>
  <c r="A19" i="9"/>
  <c r="A17" i="9"/>
  <c r="A16" i="9"/>
  <c r="A15" i="9"/>
  <c r="A14" i="9"/>
  <c r="A13" i="9"/>
  <c r="A12" i="9"/>
  <c r="A11" i="9"/>
  <c r="A3" i="2"/>
  <c r="A1" i="2"/>
  <c r="E24" i="2"/>
  <c r="D24" i="2"/>
  <c r="E23" i="2"/>
  <c r="D23" i="2"/>
  <c r="E22" i="2"/>
  <c r="D22" i="2"/>
  <c r="E21" i="2"/>
  <c r="D21" i="2"/>
  <c r="E19" i="2"/>
  <c r="D19" i="2"/>
  <c r="E16" i="2"/>
  <c r="D16" i="2"/>
  <c r="E15" i="2"/>
  <c r="D15" i="2"/>
  <c r="E14" i="2"/>
  <c r="D14" i="2"/>
  <c r="E13" i="2"/>
  <c r="D13" i="2"/>
  <c r="E12" i="2"/>
  <c r="D12" i="2"/>
  <c r="E11" i="2"/>
  <c r="D11" i="2"/>
  <c r="D10" i="2"/>
  <c r="L61" i="1"/>
  <c r="K59" i="1"/>
  <c r="K55" i="1"/>
  <c r="K61" i="1"/>
  <c r="J59" i="1"/>
  <c r="J55" i="1"/>
  <c r="J61" i="1"/>
  <c r="H61" i="1"/>
  <c r="G61" i="1"/>
  <c r="F61" i="1"/>
  <c r="K47" i="1"/>
  <c r="K60" i="1"/>
  <c r="J60" i="1"/>
  <c r="K58" i="1"/>
  <c r="J58" i="1"/>
  <c r="F57" i="1"/>
  <c r="F56" i="1"/>
  <c r="K52" i="1"/>
  <c r="J52" i="1"/>
  <c r="G52" i="1"/>
  <c r="F52" i="1"/>
  <c r="C52" i="1"/>
  <c r="B52" i="1"/>
  <c r="L48" i="1"/>
  <c r="K46" i="1"/>
  <c r="K42" i="1"/>
  <c r="K48" i="1"/>
  <c r="J46" i="1"/>
  <c r="J42" i="1"/>
  <c r="J48" i="1"/>
  <c r="H48" i="1"/>
  <c r="G48" i="1"/>
  <c r="F48" i="1"/>
  <c r="D48" i="1"/>
  <c r="C48" i="1"/>
  <c r="J47" i="1"/>
  <c r="K45" i="1"/>
  <c r="J45" i="1"/>
  <c r="F44" i="1"/>
  <c r="F43" i="1"/>
  <c r="K39" i="1"/>
  <c r="J39" i="1"/>
  <c r="G39" i="1"/>
  <c r="F39" i="1"/>
  <c r="C39" i="1"/>
  <c r="B39" i="1"/>
  <c r="L35" i="1"/>
  <c r="K33" i="1"/>
  <c r="K29" i="1"/>
  <c r="K35" i="1"/>
  <c r="J33" i="1"/>
  <c r="J29" i="1"/>
  <c r="J35" i="1"/>
  <c r="H35" i="1"/>
  <c r="G35" i="1"/>
  <c r="F35" i="1"/>
  <c r="K34" i="1"/>
  <c r="J34" i="1"/>
  <c r="K32" i="1"/>
  <c r="J32" i="1"/>
  <c r="F31" i="1"/>
  <c r="F30" i="1"/>
  <c r="K26" i="1"/>
  <c r="J26" i="1"/>
  <c r="G26" i="1"/>
  <c r="F26" i="1"/>
  <c r="C26" i="1"/>
  <c r="B26" i="1"/>
  <c r="K23" i="1"/>
  <c r="J23" i="1"/>
  <c r="G23" i="1"/>
  <c r="F23" i="1"/>
  <c r="D23" i="1"/>
  <c r="C23" i="1"/>
  <c r="B23" i="1"/>
  <c r="J17" i="1"/>
  <c r="F17" i="1"/>
  <c r="B17" i="1"/>
</calcChain>
</file>

<file path=xl/sharedStrings.xml><?xml version="1.0" encoding="utf-8"?>
<sst xmlns="http://schemas.openxmlformats.org/spreadsheetml/2006/main" count="225" uniqueCount="189">
  <si>
    <t>3 km</t>
  </si>
  <si>
    <t>30 km</t>
  </si>
  <si>
    <t>300 km</t>
  </si>
  <si>
    <t>Reconfigurability</t>
  </si>
  <si>
    <t>Polarization</t>
  </si>
  <si>
    <t>70 - 115 Ghz</t>
  </si>
  <si>
    <t>&gt; 20GHz BW</t>
  </si>
  <si>
    <t>KEY:</t>
  </si>
  <si>
    <t>Desirable</t>
  </si>
  <si>
    <t>Details</t>
  </si>
  <si>
    <t>Cost Premium, Construction</t>
  </si>
  <si>
    <t>Cost Premium, Operations</t>
  </si>
  <si>
    <t>Parameter</t>
  </si>
  <si>
    <t>Brief Description:</t>
  </si>
  <si>
    <t>18m aperture, fixed locations, 1.2-116 GHz</t>
  </si>
  <si>
    <t>Key Parameters:</t>
  </si>
  <si>
    <t>Number of Antennas</t>
  </si>
  <si>
    <t>Aperture Size (m)</t>
  </si>
  <si>
    <t>1.2 - 116</t>
  </si>
  <si>
    <t>Frequency Range (GHz)</t>
  </si>
  <si>
    <t>Configuration</t>
  </si>
  <si>
    <t>Construction Cost ($M)</t>
  </si>
  <si>
    <t>Operation Cost ($M)</t>
  </si>
  <si>
    <t>Max N-S Baseline (km)</t>
  </si>
  <si>
    <t>Max E-W Baseline (km)</t>
  </si>
  <si>
    <t>Shortest Baseline (m)</t>
  </si>
  <si>
    <t>Performance Measures:</t>
  </si>
  <si>
    <t>Instantaneous BW (GHz/Pol)</t>
  </si>
  <si>
    <t>Dual Linear</t>
  </si>
  <si>
    <t>Processed bandwidth (GHz)</t>
  </si>
  <si>
    <t>Risk Analysis:</t>
  </si>
  <si>
    <t>Technical Risks</t>
  </si>
  <si>
    <t>Technical Opportunities:</t>
  </si>
  <si>
    <t>Mixed beam patterns will complicate imaging and post processing pipelines. Not accounted for in cost/performance analysis.</t>
  </si>
  <si>
    <t>1000km</t>
  </si>
  <si>
    <t>1-4 Ghz</t>
  </si>
  <si>
    <t>4-11 GHz</t>
  </si>
  <si>
    <t>11-50 GHz</t>
  </si>
  <si>
    <t>Concepts - Comparison</t>
  </si>
  <si>
    <t>Concept A</t>
  </si>
  <si>
    <t>Concept B</t>
  </si>
  <si>
    <t>RF / FE</t>
  </si>
  <si>
    <t>&gt; 2:1 BW Ratio</t>
  </si>
  <si>
    <t>Feature Comparison</t>
  </si>
  <si>
    <t>Not Required</t>
  </si>
  <si>
    <t>Essential</t>
  </si>
  <si>
    <t>Features</t>
  </si>
  <si>
    <t>Concept Fit</t>
  </si>
  <si>
    <t>Poor Fit</t>
  </si>
  <si>
    <t>Moderate Fit</t>
  </si>
  <si>
    <t>Strong Fit</t>
  </si>
  <si>
    <t>Options Description</t>
  </si>
  <si>
    <t>Low Technical Risk</t>
  </si>
  <si>
    <t>Stand-Alone Options</t>
  </si>
  <si>
    <t>Science Use Case Compatibility</t>
  </si>
  <si>
    <t>(Max) Fraction of Collecting Area</t>
  </si>
  <si>
    <t>Surface Brightness Sensitivity [mK]</t>
  </si>
  <si>
    <t>Baselines</t>
  </si>
  <si>
    <t>Functional</t>
  </si>
  <si>
    <t>Capabilities</t>
  </si>
  <si>
    <t>Phased Array</t>
  </si>
  <si>
    <t>msec-scale Search Capabilities</t>
  </si>
  <si>
    <t>High RF Dynamic Range (e.g., Solar)</t>
  </si>
  <si>
    <t xml:space="preserve">Array </t>
  </si>
  <si>
    <t>Performance</t>
  </si>
  <si>
    <t>Geometric Collecting Area (m^2)</t>
  </si>
  <si>
    <t>Aperture Efficiency (inc. Feed Illum.)</t>
  </si>
  <si>
    <t>System Temperature (K)</t>
  </si>
  <si>
    <t>Effective Collecting Area (m^2)</t>
  </si>
  <si>
    <t xml:space="preserve">Footnotes: </t>
  </si>
  <si>
    <r>
      <t xml:space="preserve">Resolution at Longest Baseline [mas]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</si>
  <si>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Largest Angular Scale [']</t>
    </r>
    <r>
      <rPr>
        <b/>
        <vertAlign val="superscript"/>
        <sz val="11"/>
        <rFont val="Calibri"/>
        <family val="2"/>
        <scheme val="minor"/>
      </rPr>
      <t>2</t>
    </r>
  </si>
  <si>
    <r>
      <t>Field of View [']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</si>
  <si>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Largest Angular Scale ["]</t>
    </r>
    <r>
      <rPr>
        <b/>
        <vertAlign val="superscript"/>
        <sz val="11"/>
        <rFont val="Calibri"/>
        <family val="2"/>
        <scheme val="minor"/>
      </rPr>
      <t>2</t>
    </r>
  </si>
  <si>
    <r>
      <t>10uJy Continuum Survey Speed [deg^2/hr]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</si>
  <si>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Angular resolution calculated as </t>
    </r>
    <r>
      <rPr>
        <b/>
        <sz val="11"/>
        <color theme="1"/>
        <rFont val="GreekC"/>
      </rPr>
      <t>λ</t>
    </r>
    <r>
      <rPr>
        <b/>
        <sz val="11"/>
        <color theme="1"/>
        <rFont val="Calibri"/>
        <family val="2"/>
        <scheme val="minor"/>
      </rPr>
      <t xml:space="preserve">/B_max.  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</si>
  <si>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Largest angular scales calculated as λ/B_min.    </t>
    </r>
  </si>
  <si>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- Field of view calculated as  C</t>
    </r>
    <r>
      <rPr>
        <b/>
        <vertAlign val="subscript"/>
        <sz val="11"/>
        <rFont val="Calibri"/>
        <family val="2"/>
        <scheme val="minor"/>
      </rPr>
      <t>taper</t>
    </r>
    <r>
      <rPr>
        <b/>
        <sz val="11"/>
        <rFont val="Calibri"/>
        <family val="2"/>
        <scheme val="minor"/>
      </rPr>
      <t xml:space="preserve">*λ/D.  </t>
    </r>
  </si>
  <si>
    <t>Core / Y / Long Baseline Stations</t>
  </si>
  <si>
    <t>VLBI Recording</t>
  </si>
  <si>
    <t>Notes</t>
  </si>
  <si>
    <t>1 km</t>
  </si>
  <si>
    <t>&gt; 3 SubArrays</t>
  </si>
  <si>
    <t>&lt; msec Search Capabilities</t>
  </si>
  <si>
    <t>Full Polarization Synthesis</t>
  </si>
  <si>
    <t>Rapid Response Time (1 minute)</t>
  </si>
  <si>
    <t>Time Domain</t>
  </si>
  <si>
    <t>Accurate Autocorrelation (Total Power) Products</t>
  </si>
  <si>
    <t>Total Power Single Dish / Zero Spacing Element</t>
  </si>
  <si>
    <t>&amp; Features</t>
  </si>
  <si>
    <t>Short Spacings (&lt; 30 m)</t>
  </si>
  <si>
    <t xml:space="preserve">Single dish, 45m Diameter, with 20 pixel FPAs or equivalent, consistent with ngVLA memo #14. </t>
  </si>
  <si>
    <t>"Zero Spacing" Single Dish</t>
  </si>
  <si>
    <t>18m Concept Const/Ops Ref $:</t>
  </si>
  <si>
    <t>Cost Change, Operations</t>
  </si>
  <si>
    <t>Cost Change, Construction</t>
  </si>
  <si>
    <t>W-band 7-pixel FPA</t>
  </si>
  <si>
    <t xml:space="preserve">Computing and Software system become significantly more complex. </t>
  </si>
  <si>
    <t>Autocorrelation Total Power</t>
  </si>
  <si>
    <t>&gt; 64k Correlator Spectral Channels</t>
  </si>
  <si>
    <t xml:space="preserve">For 10% of the array collecting area. Includes cost of flux+gain cal system, but no changes to antenna mount. May have technical difficulties/ramifications not considered here. 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</si>
  <si>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=1km</t>
    </r>
    <r>
      <rPr>
        <b/>
        <sz val="11"/>
        <color theme="1"/>
        <rFont val="Calibri"/>
        <family val="2"/>
        <scheme val="minor"/>
      </rPr>
      <t xml:space="preserve">  (CFG X)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</si>
  <si>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=1km</t>
    </r>
    <r>
      <rPr>
        <b/>
        <sz val="11"/>
        <color theme="1"/>
        <rFont val="Calibri"/>
        <family val="2"/>
        <scheme val="minor"/>
      </rPr>
      <t xml:space="preserve"> 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</si>
  <si>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=1km </t>
    </r>
  </si>
  <si>
    <t>18m aperture, reconfigurable to 30km, 1.2-116 GHz</t>
  </si>
  <si>
    <t>13m aperture in core, 26m aperture on arms, fixed locations. 1.2-116 GHz.</t>
  </si>
  <si>
    <t xml:space="preserve">(1) Pedestal may not be feasible/affordable - Reconfiguration capability plus pointing accuracy may be difficult. (2) Reconfiguration costs in operation may be under-estimated. 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</si>
  <si>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=320km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</si>
  <si>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=320km (CFG Y)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</si>
  <si>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=32km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</si>
  <si>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=32km  (CFG Y)</t>
    </r>
  </si>
  <si>
    <t>Reconfigurability up to 30km roughly along existing VLA arms. ~4 configurations. One reconfiguration per year.</t>
  </si>
  <si>
    <t>CONCEPT A</t>
  </si>
  <si>
    <t>CONCEPT C</t>
  </si>
  <si>
    <t>CONCEPT B</t>
  </si>
  <si>
    <t>150 - 800 MHz Commensal System</t>
  </si>
  <si>
    <t>1-150 MHz Commensal System</t>
  </si>
  <si>
    <t>WAG on cost of an ngLOBO Capability.</t>
  </si>
  <si>
    <t>13 core / 26 arms +</t>
  </si>
  <si>
    <t>148 @ 13m /  56 @ 26m</t>
  </si>
  <si>
    <t>Full-band, full-beam Imaging at 1.2GHz</t>
  </si>
  <si>
    <t>13/26m Heterogeneous Array</t>
  </si>
  <si>
    <t>18m Homogeneous Array</t>
  </si>
  <si>
    <t>Subtotals</t>
  </si>
  <si>
    <t>Units</t>
  </si>
  <si>
    <t xml:space="preserve">Build-Your-Own-Array - Sponsored by Lego® </t>
  </si>
  <si>
    <t>Concept "A" - 18m Apertures</t>
  </si>
  <si>
    <t>Constr. Unit cost ($M)</t>
  </si>
  <si>
    <t>Ops Unit Cost ($M)</t>
  </si>
  <si>
    <t xml:space="preserve"> Construction Cost</t>
  </si>
  <si>
    <t>Operation Cost</t>
  </si>
  <si>
    <t>Construction must be &lt;$1500, Ops must be &lt;$75M</t>
  </si>
  <si>
    <t>"VLA" of Effective Collecting Area</t>
  </si>
  <si>
    <t xml:space="preserve">A "VLA" worth of effective collecting area at 30 GHz. Equiv. to 28 18m ngVLA dishes. </t>
  </si>
  <si>
    <t xml:space="preserve">Modify the 'Baseline' ('A') Concept, while staying within the bounds of construction and operations cost. </t>
  </si>
  <si>
    <t xml:space="preserve">Note: All Option cost deltas are relevant to 'Concept A'. </t>
  </si>
  <si>
    <t>Concept XYZ</t>
  </si>
  <si>
    <t>(Use the builder to make your own.)</t>
  </si>
  <si>
    <t xml:space="preserve">When available from the front end. Note - the model discounts digital equipment rather significantly. If performance per $ does not continue to improve at current rates, it will underestimate digital system costs. </t>
  </si>
  <si>
    <t>50GHz Upper Frequency Limit</t>
  </si>
  <si>
    <t>Circular Polarization Front End</t>
  </si>
  <si>
    <t>Future multi-pixel (Parabolic reflectors, no shaping)</t>
  </si>
  <si>
    <t xml:space="preserve">Shaped optics vs. parabolic, keeping effective area (and sensitivity) constant. Assumes 10% efficiency improvement with shaping. Gains (and cost delta) may be larger. </t>
  </si>
  <si>
    <t>Includes relaxed antenna surface roughness (300um) and pointing specs. Cannot be added back at a later date. Held effective area (&amp; sensitivity) constant at 30 GHz, so ops cost rises (more antennas needed to offset surface efficiency loss). Sensitivity at 2 GHz improved ~10%. If just interested in deferring the W-band receiver, cost delta is comparable to deferring one of the low frequency receivers above.</t>
  </si>
  <si>
    <t xml:space="preserve">To match sensitivity of linearly polarized system at 30GHz (~3K penalty.) Circular pol expected to offer better pol. calibration. </t>
  </si>
  <si>
    <t xml:space="preserve">Defer 1.2GHz to 3.6 GHz receiver in 6-band configuration. </t>
  </si>
  <si>
    <t xml:space="preserve">Defer 3.6GHz to 10.8 GHz receiver in 6-band configuration. </t>
  </si>
  <si>
    <t>4000km</t>
  </si>
  <si>
    <t>Survey Speed: 5x JVLA, ALMA</t>
  </si>
  <si>
    <t>Surface Brightness Sensitivity: 5x JVLA, ALMA</t>
  </si>
  <si>
    <t>Point Source Senstivity: 10x JVLA, ALMA</t>
  </si>
  <si>
    <t>1000 Spectral Channels</t>
  </si>
  <si>
    <t>High Accuracy Circular Pol Measurements (0.1% Purity)</t>
  </si>
  <si>
    <t>High Accuracy Linear Pol Measurements (0.1% Purity)</t>
  </si>
  <si>
    <t>Mosaic / On-The-Fly Mosaic</t>
  </si>
  <si>
    <t>Other</t>
  </si>
  <si>
    <t>(Add your own.)</t>
  </si>
  <si>
    <t>1000km Baselines</t>
  </si>
  <si>
    <t>ngVLA Concepts &amp; Options</t>
  </si>
  <si>
    <t>Defer 1.2 GHz - 3.6 GHz Low-Frequency Coverage</t>
  </si>
  <si>
    <t>Defer 3.6 GHz - 10.8 GHz Low-Frequency Coverage</t>
  </si>
  <si>
    <t>Change to 16m Apertures</t>
  </si>
  <si>
    <t>Change to 20m Apertures</t>
  </si>
  <si>
    <t xml:space="preserve">Cost keeps collecting area equal. </t>
  </si>
  <si>
    <t>Holding collecting area constant</t>
  </si>
  <si>
    <t>Future Multi-Pixel 70-115 GHz Option</t>
  </si>
  <si>
    <t>TdCP: Explosive Transients (FRB, TDE, GRB, Mdwarfs, GWEM…)</t>
  </si>
  <si>
    <t xml:space="preserve">&lt; 1 GHz </t>
  </si>
  <si>
    <t xml:space="preserve">May be more feasible to fabricate smaller diameter apertures using non-standard/novel techniques that improve performance/$. </t>
  </si>
  <si>
    <t>Concepts Table</t>
  </si>
  <si>
    <t>CoL/PF3: Characterizing Planet-Disk Interactions</t>
  </si>
  <si>
    <t>CoL/AC5:Prebiotic Chemistry</t>
  </si>
  <si>
    <t>GFor/HiZ5: Mapping High-z CO Gas</t>
  </si>
  <si>
    <t>GEco/NGA2: Atomic Hydrogen in the Local Universe</t>
  </si>
  <si>
    <t>GEco/NGA8: Parsec-Scale Cold Gas Structure Across
the Whole Local Galaxy Population</t>
  </si>
  <si>
    <t>TdCP1: Galactic Center Pulsars</t>
  </si>
  <si>
    <t>TdCP9: High Precision Astrometry</t>
  </si>
  <si>
    <t>CoL/SS6: Giant Planet Atmospheres</t>
  </si>
  <si>
    <t>GFor/HiZ7: Deep Continuum Surveys</t>
  </si>
  <si>
    <r>
      <t>Continuum rms, 10hr [uJy / beam]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</si>
  <si>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Surface Brightness Sensitivity, 1 km/s, 10hr [mK]</t>
  </si>
  <si>
    <r>
      <t>Line rms, 1 km/s, 10hr [uJy / beam]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</si>
  <si>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- Time referenced is time on source. Includes approx. weights/taper for beam of corresponding resolution (2x penalty to NA). </t>
    </r>
  </si>
  <si>
    <t>NOT increasing total collecting area, just reallocation of existing collecting area out to 1000km limit. Added 12 long-baseline stations. Strong dependence on LO and DTS concepts in practice.</t>
  </si>
  <si>
    <t>10GHz of Instantaneous BW per Polarization.</t>
  </si>
  <si>
    <t>GFor/HiZ1: The Molecular Gas Budget</t>
  </si>
  <si>
    <t>GEco/NGA3: Radio Continuum Emission from Galaxies:
An Accounting of Energetic Processes</t>
  </si>
  <si>
    <t>2017-06-28 V2.9</t>
  </si>
  <si>
    <t xml:space="preserve">For antennas in core only. 20GHz BW per pixel.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</si>
</sst>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0&quot; GHz&quot;"/>
    <numFmt numFmtId="168" formatCode="0.0%"/>
    <numFmt numFmtId="169" formatCode="_(&quot;$&quot;* #,##0_);_(&quot;$&quot;* \(#,##0\);_(&quot;$&quot;* &quot;-&quot;??_);_(@_)"/>
    <numFmt numFmtId="170" formatCode="&quot;$&quot;#,##0.0_);\(&quot;$&quot;#,##0.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GreekC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1" xfId="0" applyFill="1" applyBorder="1"/>
    <xf numFmtId="0" fontId="1" fillId="0" borderId="0" xfId="0" applyFont="1" applyAlignment="1">
      <alignment horizontal="right" vertical="top" wrapText="1"/>
    </xf>
    <xf numFmtId="0" fontId="0" fillId="0" borderId="4" xfId="0" applyFill="1" applyBorder="1"/>
    <xf numFmtId="0" fontId="1" fillId="4" borderId="7" xfId="0" applyFont="1" applyFill="1" applyBorder="1" applyAlignment="1">
      <alignment wrapText="1"/>
    </xf>
    <xf numFmtId="0" fontId="1" fillId="4" borderId="5" xfId="0" applyFont="1" applyFill="1" applyBorder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6" xfId="0" applyFont="1" applyFill="1" applyBorder="1"/>
    <xf numFmtId="0" fontId="1" fillId="4" borderId="8" xfId="0" applyFont="1" applyFill="1" applyBorder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wrapText="1"/>
    </xf>
    <xf numFmtId="0" fontId="6" fillId="0" borderId="0" xfId="0" applyFont="1" applyAlignment="1">
      <alignment vertical="top"/>
    </xf>
    <xf numFmtId="169" fontId="0" fillId="0" borderId="0" xfId="3" applyNumberFormat="1" applyFont="1" applyAlignment="1">
      <alignment vertical="top" wrapText="1"/>
    </xf>
    <xf numFmtId="169" fontId="1" fillId="3" borderId="1" xfId="0" applyNumberFormat="1" applyFont="1" applyFill="1" applyBorder="1" applyAlignment="1">
      <alignment vertical="top" wrapText="1"/>
    </xf>
    <xf numFmtId="44" fontId="1" fillId="3" borderId="1" xfId="0" applyNumberFormat="1" applyFont="1" applyFill="1" applyBorder="1" applyAlignment="1">
      <alignment vertical="top" wrapText="1"/>
    </xf>
    <xf numFmtId="169" fontId="1" fillId="3" borderId="1" xfId="3" applyNumberFormat="1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7" fontId="2" fillId="6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9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1" fillId="1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170" fontId="1" fillId="10" borderId="1" xfId="0" applyNumberFormat="1" applyFont="1" applyFill="1" applyBorder="1" applyAlignment="1">
      <alignment vertical="top" wrapText="1"/>
    </xf>
    <xf numFmtId="5" fontId="1" fillId="5" borderId="1" xfId="0" applyNumberFormat="1" applyFont="1" applyFill="1" applyBorder="1" applyAlignment="1">
      <alignment vertical="top" wrapText="1"/>
    </xf>
    <xf numFmtId="5" fontId="1" fillId="3" borderId="4" xfId="0" applyNumberFormat="1" applyFont="1" applyFill="1" applyBorder="1" applyAlignment="1">
      <alignment vertical="top" wrapText="1"/>
    </xf>
    <xf numFmtId="44" fontId="1" fillId="5" borderId="1" xfId="3" applyFont="1" applyFill="1" applyBorder="1" applyAlignment="1">
      <alignment vertical="top" wrapText="1"/>
    </xf>
    <xf numFmtId="44" fontId="1" fillId="3" borderId="1" xfId="3" applyFont="1" applyFill="1" applyBorder="1" applyAlignment="1">
      <alignment vertical="top" wrapText="1"/>
    </xf>
    <xf numFmtId="44" fontId="1" fillId="3" borderId="12" xfId="3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5" fontId="1" fillId="0" borderId="13" xfId="3" applyNumberFormat="1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right" vertical="top" wrapText="1"/>
    </xf>
    <xf numFmtId="0" fontId="1" fillId="6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6" borderId="13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9" fontId="1" fillId="0" borderId="13" xfId="1" applyFont="1" applyFill="1" applyBorder="1" applyAlignment="1">
      <alignment horizontal="center" vertical="top" wrapText="1"/>
    </xf>
    <xf numFmtId="37" fontId="1" fillId="0" borderId="13" xfId="2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2" applyNumberFormat="1" applyFont="1" applyFill="1" applyBorder="1" applyAlignment="1">
      <alignment horizontal="center" vertical="top" wrapText="1"/>
    </xf>
    <xf numFmtId="1" fontId="1" fillId="0" borderId="13" xfId="2" applyNumberFormat="1" applyFont="1" applyFill="1" applyBorder="1" applyAlignment="1">
      <alignment horizontal="center" vertical="top" wrapText="1"/>
    </xf>
    <xf numFmtId="2" fontId="1" fillId="0" borderId="13" xfId="2" applyNumberFormat="1" applyFont="1" applyFill="1" applyBorder="1" applyAlignment="1">
      <alignment horizontal="center" vertical="top"/>
    </xf>
    <xf numFmtId="1" fontId="1" fillId="0" borderId="13" xfId="2" applyNumberFormat="1" applyFont="1" applyFill="1" applyBorder="1" applyAlignment="1">
      <alignment horizontal="center" vertical="top"/>
    </xf>
    <xf numFmtId="164" fontId="1" fillId="6" borderId="13" xfId="0" applyNumberFormat="1" applyFont="1" applyFill="1" applyBorder="1" applyAlignment="1">
      <alignment horizontal="center" vertical="top" wrapText="1"/>
    </xf>
    <xf numFmtId="1" fontId="1" fillId="6" borderId="13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vertical="top" wrapText="1"/>
    </xf>
    <xf numFmtId="168" fontId="1" fillId="11" borderId="1" xfId="1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0" fillId="0" borderId="5" xfId="0" applyFill="1" applyBorder="1"/>
    <xf numFmtId="0" fontId="0" fillId="0" borderId="5" xfId="0" applyBorder="1"/>
    <xf numFmtId="0" fontId="1" fillId="4" borderId="18" xfId="0" applyFont="1" applyFill="1" applyBorder="1" applyAlignment="1">
      <alignment wrapText="1"/>
    </xf>
    <xf numFmtId="0" fontId="0" fillId="0" borderId="20" xfId="0" applyFill="1" applyBorder="1"/>
    <xf numFmtId="0" fontId="0" fillId="0" borderId="20" xfId="0" applyBorder="1"/>
    <xf numFmtId="0" fontId="1" fillId="13" borderId="19" xfId="0" applyFont="1" applyFill="1" applyBorder="1" applyAlignment="1">
      <alignment horizontal="center" vertical="top" wrapText="1"/>
    </xf>
    <xf numFmtId="0" fontId="1" fillId="13" borderId="17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3" fontId="1" fillId="0" borderId="13" xfId="2" applyNumberFormat="1" applyFont="1" applyFill="1" applyBorder="1" applyAlignment="1">
      <alignment horizontal="center" vertical="top" wrapText="1"/>
    </xf>
    <xf numFmtId="43" fontId="1" fillId="0" borderId="0" xfId="2" applyFont="1" applyAlignment="1">
      <alignment vertical="top" wrapText="1"/>
    </xf>
    <xf numFmtId="43" fontId="1" fillId="0" borderId="0" xfId="0" applyNumberFormat="1" applyFont="1" applyAlignment="1">
      <alignment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5" fontId="1" fillId="0" borderId="13" xfId="3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11" borderId="5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center" vertical="top" wrapText="1"/>
    </xf>
    <xf numFmtId="0" fontId="12" fillId="11" borderId="6" xfId="0" applyFont="1" applyFill="1" applyBorder="1" applyAlignment="1">
      <alignment horizontal="center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docs/01-Systems/Cost_Studies/Cost-Model-Drafts/Cost-Model-V2.0/nqxm2.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Key Performance Parameters"/>
      <sheetName val="Project"/>
      <sheetName val="Antenna"/>
      <sheetName val="Array Configuration"/>
      <sheetName val="Configuration-Conway"/>
      <sheetName val="Configuration-Y"/>
      <sheetName val="Array Infrastructure"/>
      <sheetName val="Antenna Electronics"/>
      <sheetName val="Central Electronics"/>
      <sheetName val="Correlator"/>
      <sheetName val="IT Infrastructure"/>
      <sheetName val="Computing"/>
      <sheetName val="Science"/>
      <sheetName val="Buildings"/>
      <sheetName val="Ops"/>
      <sheetName val="SavedOptions"/>
      <sheetName val="Sensitivity Analysis"/>
      <sheetName val="Cell Values"/>
      <sheetName val="Data"/>
      <sheetName val="Visualization"/>
      <sheetName val="Sheet1"/>
    </sheetNames>
    <sheetDataSet>
      <sheetData sheetId="0"/>
      <sheetData sheetId="1"/>
      <sheetData sheetId="2"/>
      <sheetData sheetId="3">
        <row r="4">
          <cell r="F4">
            <v>25</v>
          </cell>
        </row>
        <row r="7">
          <cell r="F7">
            <v>1.17</v>
          </cell>
        </row>
      </sheetData>
      <sheetData sheetId="4">
        <row r="10">
          <cell r="J10">
            <v>320</v>
          </cell>
        </row>
      </sheetData>
      <sheetData sheetId="5"/>
      <sheetData sheetId="6"/>
      <sheetData sheetId="7"/>
      <sheetData sheetId="8">
        <row r="15">
          <cell r="V15">
            <v>0</v>
          </cell>
          <cell r="W15" t="str">
            <v>Receiver BW Ratio</v>
          </cell>
          <cell r="X15" t="str">
            <v>Receiver BW</v>
          </cell>
          <cell r="Y15" t="str">
            <v>Processed BW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V17" t="str">
            <v>Band 1</v>
          </cell>
          <cell r="W17" t="str">
            <v>3:1</v>
          </cell>
          <cell r="X17">
            <v>2400000000</v>
          </cell>
          <cell r="Y17">
            <v>2400000000</v>
          </cell>
        </row>
        <row r="18">
          <cell r="V18" t="str">
            <v>Band 2</v>
          </cell>
          <cell r="W18" t="str">
            <v>3:1</v>
          </cell>
          <cell r="X18">
            <v>7200000000</v>
          </cell>
          <cell r="Y18">
            <v>7200000000</v>
          </cell>
        </row>
        <row r="19">
          <cell r="V19" t="str">
            <v>Band 3</v>
          </cell>
          <cell r="W19" t="str">
            <v>1.64:1</v>
          </cell>
          <cell r="X19">
            <v>7000000000</v>
          </cell>
          <cell r="Y19">
            <v>7000000000</v>
          </cell>
        </row>
        <row r="20">
          <cell r="V20" t="str">
            <v>Band 4</v>
          </cell>
          <cell r="W20" t="str">
            <v>1.67:1</v>
          </cell>
          <cell r="X20">
            <v>12000000000</v>
          </cell>
          <cell r="Y20">
            <v>12000000000</v>
          </cell>
        </row>
        <row r="21">
          <cell r="V21" t="str">
            <v>Band 5</v>
          </cell>
          <cell r="W21" t="str">
            <v>1.67:1</v>
          </cell>
          <cell r="X21">
            <v>20000000000</v>
          </cell>
          <cell r="Y21">
            <v>20000000000</v>
          </cell>
        </row>
        <row r="22">
          <cell r="V22" t="str">
            <v>Band 6</v>
          </cell>
          <cell r="W22" t="str">
            <v>1.66:1</v>
          </cell>
          <cell r="X22">
            <v>46000000000</v>
          </cell>
          <cell r="Y22">
            <v>20000000000</v>
          </cell>
        </row>
        <row r="23">
          <cell r="V23" t="str">
            <v>Band 7</v>
          </cell>
          <cell r="W23" t="str">
            <v>-</v>
          </cell>
          <cell r="X23" t="str">
            <v>-</v>
          </cell>
          <cell r="Y23" t="str">
            <v>-</v>
          </cell>
        </row>
        <row r="24">
          <cell r="V24" t="str">
            <v>Band 8</v>
          </cell>
          <cell r="W24" t="str">
            <v>-</v>
          </cell>
          <cell r="X24" t="str">
            <v>-</v>
          </cell>
          <cell r="Y24" t="str">
            <v>-</v>
          </cell>
        </row>
      </sheetData>
      <sheetData sheetId="9"/>
      <sheetData sheetId="10"/>
      <sheetData sheetId="11"/>
      <sheetData sheetId="12"/>
      <sheetData sheetId="13">
        <row r="2">
          <cell r="I2">
            <v>10</v>
          </cell>
        </row>
        <row r="3">
          <cell r="I3">
            <v>3600</v>
          </cell>
        </row>
        <row r="4">
          <cell r="I4">
            <v>10000</v>
          </cell>
        </row>
        <row r="6">
          <cell r="K6">
            <v>0</v>
          </cell>
          <cell r="L6" t="str">
            <v>Continuum RMS</v>
          </cell>
          <cell r="M6" t="str">
            <v>Spectral Width</v>
          </cell>
          <cell r="N6" t="str">
            <v>Spectral RMS</v>
          </cell>
          <cell r="O6" t="str">
            <v>Benchmark Integration</v>
          </cell>
        </row>
        <row r="7"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K8">
            <v>0</v>
          </cell>
          <cell r="L8" t="str">
            <v>(3600 s)</v>
          </cell>
          <cell r="M8">
            <v>0</v>
          </cell>
          <cell r="N8" t="str">
            <v>(3600 s)</v>
          </cell>
          <cell r="O8" t="str">
            <v>(s)</v>
          </cell>
        </row>
        <row r="9">
          <cell r="K9" t="str">
            <v>Band 1</v>
          </cell>
          <cell r="L9">
            <v>2.7912377736955112E-7</v>
          </cell>
          <cell r="M9">
            <v>120083.07427133474</v>
          </cell>
          <cell r="N9">
            <v>3.9460406581322095E-5</v>
          </cell>
          <cell r="O9">
            <v>2.8047629913496834</v>
          </cell>
        </row>
        <row r="10">
          <cell r="K10" t="str">
            <v>Band 2</v>
          </cell>
          <cell r="L10">
            <v>2.7833508910145365E-7</v>
          </cell>
          <cell r="M10">
            <v>360249.22281400423</v>
          </cell>
          <cell r="N10">
            <v>2.2718102513315387E-5</v>
          </cell>
          <cell r="O10">
            <v>0.92964506190136964</v>
          </cell>
        </row>
        <row r="11">
          <cell r="K11" t="str">
            <v>Band 3</v>
          </cell>
          <cell r="L11">
            <v>2.547688008450954E-7</v>
          </cell>
          <cell r="M11">
            <v>600415.37135667366</v>
          </cell>
          <cell r="N11">
            <v>1.6107419245872783E-5</v>
          </cell>
          <cell r="O11">
            <v>0.80113957982596273</v>
          </cell>
        </row>
        <row r="12">
          <cell r="K12" t="str">
            <v>Band 4</v>
          </cell>
          <cell r="L12">
            <v>3.3561503953944102E-7</v>
          </cell>
          <cell r="M12">
            <v>1000692.2855944561</v>
          </cell>
          <cell r="N12">
            <v>1.6436023710589207E-5</v>
          </cell>
          <cell r="O12">
            <v>0.81098967430843616</v>
          </cell>
        </row>
        <row r="13">
          <cell r="K13" t="str">
            <v xml:space="preserve">Band 5 </v>
          </cell>
          <cell r="L13">
            <v>8.520869831828478E-7</v>
          </cell>
          <cell r="M13">
            <v>1667820.4759907601</v>
          </cell>
          <cell r="N13">
            <v>3.2323241055930027E-5</v>
          </cell>
          <cell r="O13">
            <v>3.1365456202496742</v>
          </cell>
        </row>
        <row r="14">
          <cell r="K14" t="str">
            <v xml:space="preserve">Band 6 </v>
          </cell>
          <cell r="L14">
            <v>3.1786167242505139E-6</v>
          </cell>
          <cell r="M14">
            <v>3869343.5042985636</v>
          </cell>
          <cell r="N14">
            <v>7.9163528196705355E-5</v>
          </cell>
          <cell r="O14">
            <v>43.647570488239502</v>
          </cell>
        </row>
        <row r="15">
          <cell r="K15" t="str">
            <v xml:space="preserve">Band 7 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K16" t="str">
            <v xml:space="preserve">Band 8 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70"/>
  <sheetViews>
    <sheetView workbookViewId="0">
      <selection activeCell="O4" sqref="O4"/>
    </sheetView>
  </sheetViews>
  <sheetFormatPr defaultColWidth="8.85546875" defaultRowHeight="15" x14ac:dyDescent="0.25"/>
  <cols>
    <col min="1" max="1" width="45.140625" style="3" customWidth="1"/>
    <col min="2" max="4" width="11.85546875" style="12" customWidth="1"/>
    <col min="5" max="5" width="1" style="12" customWidth="1"/>
    <col min="6" max="6" width="11.42578125" style="12" customWidth="1"/>
    <col min="7" max="8" width="11.42578125" style="3" customWidth="1"/>
    <col min="9" max="9" width="1" style="3" hidden="1" customWidth="1"/>
    <col min="10" max="12" width="11.42578125" style="12" hidden="1" customWidth="1"/>
    <col min="13" max="13" width="8.85546875" style="3"/>
    <col min="14" max="14" width="11.42578125" style="3" bestFit="1" customWidth="1"/>
    <col min="15" max="16384" width="8.85546875" style="3"/>
  </cols>
  <sheetData>
    <row r="1" spans="1:12" ht="18.75" x14ac:dyDescent="0.25">
      <c r="A1" s="17" t="s">
        <v>158</v>
      </c>
    </row>
    <row r="2" spans="1:12" ht="18.75" x14ac:dyDescent="0.25">
      <c r="A2" s="17" t="s">
        <v>169</v>
      </c>
    </row>
    <row r="3" spans="1:12" ht="18.75" x14ac:dyDescent="0.25">
      <c r="A3" s="17" t="s">
        <v>187</v>
      </c>
    </row>
    <row r="4" spans="1:12" x14ac:dyDescent="0.25">
      <c r="A4" s="24"/>
      <c r="B4" s="118" t="s">
        <v>112</v>
      </c>
      <c r="C4" s="118"/>
      <c r="D4" s="118"/>
      <c r="E4" s="43"/>
      <c r="F4" s="118" t="s">
        <v>114</v>
      </c>
      <c r="G4" s="120"/>
      <c r="H4" s="120"/>
      <c r="I4" s="45"/>
      <c r="J4" s="118" t="s">
        <v>113</v>
      </c>
      <c r="K4" s="118"/>
      <c r="L4" s="121"/>
    </row>
    <row r="5" spans="1:12" ht="48.75" customHeight="1" x14ac:dyDescent="0.25">
      <c r="A5" s="46" t="s">
        <v>13</v>
      </c>
      <c r="B5" s="117" t="s">
        <v>14</v>
      </c>
      <c r="C5" s="117"/>
      <c r="D5" s="117"/>
      <c r="E5" s="66"/>
      <c r="F5" s="117" t="s">
        <v>105</v>
      </c>
      <c r="G5" s="117"/>
      <c r="H5" s="117"/>
      <c r="I5" s="66"/>
      <c r="J5" s="117" t="s">
        <v>104</v>
      </c>
      <c r="K5" s="117"/>
      <c r="L5" s="117"/>
    </row>
    <row r="6" spans="1:12" ht="15" customHeight="1" x14ac:dyDescent="0.25">
      <c r="A6" s="46" t="s">
        <v>21</v>
      </c>
      <c r="B6" s="119">
        <v>1495</v>
      </c>
      <c r="C6" s="119"/>
      <c r="D6" s="119"/>
      <c r="E6" s="67"/>
      <c r="F6" s="119">
        <v>1498</v>
      </c>
      <c r="G6" s="119"/>
      <c r="H6" s="119"/>
      <c r="I6" s="67"/>
      <c r="J6" s="119">
        <v>1492</v>
      </c>
      <c r="K6" s="119"/>
      <c r="L6" s="119"/>
    </row>
    <row r="7" spans="1:12" ht="15" customHeight="1" x14ac:dyDescent="0.25">
      <c r="A7" s="46" t="s">
        <v>22</v>
      </c>
      <c r="B7" s="119">
        <v>65</v>
      </c>
      <c r="C7" s="119"/>
      <c r="D7" s="119"/>
      <c r="E7" s="67"/>
      <c r="F7" s="119">
        <v>59</v>
      </c>
      <c r="G7" s="119"/>
      <c r="H7" s="119"/>
      <c r="I7" s="67"/>
      <c r="J7" s="119">
        <v>65</v>
      </c>
      <c r="K7" s="119"/>
      <c r="L7" s="119"/>
    </row>
    <row r="8" spans="1:12" x14ac:dyDescent="0.25">
      <c r="A8" s="47" t="s">
        <v>15</v>
      </c>
      <c r="B8" s="68"/>
      <c r="C8" s="68"/>
      <c r="D8" s="68"/>
      <c r="E8" s="68"/>
      <c r="F8" s="69"/>
      <c r="G8" s="69"/>
      <c r="H8" s="69"/>
      <c r="I8" s="69"/>
      <c r="J8" s="69"/>
      <c r="K8" s="69"/>
      <c r="L8" s="68"/>
    </row>
    <row r="9" spans="1:12" ht="15" customHeight="1" x14ac:dyDescent="0.25">
      <c r="A9" s="46" t="s">
        <v>17</v>
      </c>
      <c r="B9" s="116">
        <v>18</v>
      </c>
      <c r="C9" s="116"/>
      <c r="D9" s="116"/>
      <c r="E9" s="70"/>
      <c r="F9" s="116" t="s">
        <v>118</v>
      </c>
      <c r="G9" s="116"/>
      <c r="H9" s="116"/>
      <c r="I9" s="70"/>
      <c r="J9" s="116">
        <v>18</v>
      </c>
      <c r="K9" s="116"/>
      <c r="L9" s="116"/>
    </row>
    <row r="10" spans="1:12" ht="15" customHeight="1" x14ac:dyDescent="0.25">
      <c r="A10" s="46" t="s">
        <v>16</v>
      </c>
      <c r="B10" s="116">
        <v>214</v>
      </c>
      <c r="C10" s="116"/>
      <c r="D10" s="116"/>
      <c r="E10" s="70"/>
      <c r="F10" s="116" t="s">
        <v>119</v>
      </c>
      <c r="G10" s="116"/>
      <c r="H10" s="116"/>
      <c r="I10" s="70"/>
      <c r="J10" s="116">
        <v>186</v>
      </c>
      <c r="K10" s="116"/>
      <c r="L10" s="116"/>
    </row>
    <row r="11" spans="1:12" ht="15.75" customHeight="1" x14ac:dyDescent="0.25">
      <c r="A11" s="46" t="s">
        <v>19</v>
      </c>
      <c r="B11" s="116" t="s">
        <v>18</v>
      </c>
      <c r="C11" s="116"/>
      <c r="D11" s="116"/>
      <c r="E11" s="116"/>
      <c r="F11" s="116"/>
      <c r="G11" s="116"/>
      <c r="H11" s="116"/>
      <c r="I11" s="70"/>
      <c r="J11" s="70"/>
      <c r="K11" s="70"/>
      <c r="L11" s="70"/>
    </row>
    <row r="12" spans="1:12" x14ac:dyDescent="0.25">
      <c r="A12" s="46" t="s">
        <v>27</v>
      </c>
      <c r="B12" s="116">
        <v>20</v>
      </c>
      <c r="C12" s="116"/>
      <c r="D12" s="116"/>
      <c r="E12" s="116"/>
      <c r="F12" s="116"/>
      <c r="G12" s="116"/>
      <c r="H12" s="116"/>
      <c r="I12" s="70"/>
      <c r="J12" s="70"/>
      <c r="K12" s="70"/>
      <c r="L12" s="70"/>
    </row>
    <row r="13" spans="1:12" ht="15" customHeight="1" x14ac:dyDescent="0.25">
      <c r="A13" s="46" t="s">
        <v>4</v>
      </c>
      <c r="B13" s="116" t="s">
        <v>28</v>
      </c>
      <c r="C13" s="116"/>
      <c r="D13" s="116"/>
      <c r="E13" s="116"/>
      <c r="F13" s="116"/>
      <c r="G13" s="116"/>
      <c r="H13" s="116"/>
      <c r="I13" s="70"/>
      <c r="J13" s="70"/>
      <c r="K13" s="70"/>
      <c r="L13" s="70"/>
    </row>
    <row r="14" spans="1:12" ht="15" customHeight="1" x14ac:dyDescent="0.25">
      <c r="A14" s="46" t="s">
        <v>20</v>
      </c>
      <c r="B14" s="116" t="s">
        <v>78</v>
      </c>
      <c r="C14" s="116"/>
      <c r="D14" s="116"/>
      <c r="E14" s="116"/>
      <c r="F14" s="116"/>
      <c r="G14" s="116"/>
      <c r="H14" s="116"/>
      <c r="I14" s="70"/>
      <c r="J14" s="70"/>
      <c r="K14" s="70"/>
      <c r="L14" s="70"/>
    </row>
    <row r="15" spans="1:12" x14ac:dyDescent="0.25">
      <c r="A15" s="46" t="s">
        <v>23</v>
      </c>
      <c r="B15" s="116">
        <v>500</v>
      </c>
      <c r="C15" s="116"/>
      <c r="D15" s="116"/>
      <c r="E15" s="116"/>
      <c r="F15" s="116"/>
      <c r="G15" s="116"/>
      <c r="H15" s="116"/>
      <c r="I15" s="70"/>
      <c r="J15" s="70"/>
      <c r="K15" s="70"/>
      <c r="L15" s="70"/>
    </row>
    <row r="16" spans="1:12" x14ac:dyDescent="0.25">
      <c r="A16" s="46" t="s">
        <v>24</v>
      </c>
      <c r="B16" s="116">
        <v>320</v>
      </c>
      <c r="C16" s="116"/>
      <c r="D16" s="116"/>
      <c r="E16" s="116"/>
      <c r="F16" s="116"/>
      <c r="G16" s="116"/>
      <c r="H16" s="116"/>
      <c r="I16" s="70"/>
      <c r="J16" s="70"/>
      <c r="K16" s="70"/>
      <c r="L16" s="70"/>
    </row>
    <row r="17" spans="1:12" x14ac:dyDescent="0.25">
      <c r="A17" s="46" t="s">
        <v>25</v>
      </c>
      <c r="B17" s="113">
        <f>1.75*B9</f>
        <v>31.5</v>
      </c>
      <c r="C17" s="113"/>
      <c r="D17" s="113"/>
      <c r="E17" s="71"/>
      <c r="F17" s="113">
        <f>1.75*13</f>
        <v>22.75</v>
      </c>
      <c r="G17" s="113"/>
      <c r="H17" s="113"/>
      <c r="I17" s="71"/>
      <c r="J17" s="113">
        <f>1.75*J9</f>
        <v>31.5</v>
      </c>
      <c r="K17" s="113"/>
      <c r="L17" s="113"/>
    </row>
    <row r="18" spans="1:12" x14ac:dyDescent="0.25">
      <c r="A18" s="47" t="s">
        <v>30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68"/>
    </row>
    <row r="19" spans="1:12" ht="103.5" customHeight="1" x14ac:dyDescent="0.25">
      <c r="A19" s="46" t="s">
        <v>31</v>
      </c>
      <c r="B19" s="122" t="s">
        <v>52</v>
      </c>
      <c r="C19" s="122"/>
      <c r="D19" s="122"/>
      <c r="E19" s="73"/>
      <c r="F19" s="122" t="s">
        <v>33</v>
      </c>
      <c r="G19" s="122"/>
      <c r="H19" s="122"/>
      <c r="I19" s="73"/>
      <c r="J19" s="122" t="s">
        <v>106</v>
      </c>
      <c r="K19" s="122"/>
      <c r="L19" s="122"/>
    </row>
    <row r="20" spans="1:12" ht="75.75" customHeight="1" x14ac:dyDescent="0.25">
      <c r="A20" s="46" t="s">
        <v>32</v>
      </c>
      <c r="B20" s="122"/>
      <c r="C20" s="122"/>
      <c r="D20" s="122"/>
      <c r="E20" s="73"/>
      <c r="F20" s="122" t="s">
        <v>168</v>
      </c>
      <c r="G20" s="122"/>
      <c r="H20" s="122"/>
      <c r="I20" s="73"/>
      <c r="J20" s="122"/>
      <c r="K20" s="122"/>
      <c r="L20" s="122"/>
    </row>
    <row r="21" spans="1:12" ht="33" customHeight="1" x14ac:dyDescent="0.25">
      <c r="A21" s="47" t="s">
        <v>26</v>
      </c>
      <c r="B21" s="74" t="s">
        <v>102</v>
      </c>
      <c r="C21" s="74" t="s">
        <v>109</v>
      </c>
      <c r="D21" s="74" t="s">
        <v>107</v>
      </c>
      <c r="E21" s="74"/>
      <c r="F21" s="74" t="s">
        <v>103</v>
      </c>
      <c r="G21" s="74" t="s">
        <v>109</v>
      </c>
      <c r="H21" s="74" t="s">
        <v>107</v>
      </c>
      <c r="I21" s="74"/>
      <c r="J21" s="74" t="s">
        <v>101</v>
      </c>
      <c r="K21" s="74" t="s">
        <v>110</v>
      </c>
      <c r="L21" s="74" t="s">
        <v>108</v>
      </c>
    </row>
    <row r="22" spans="1:12" ht="33" customHeight="1" x14ac:dyDescent="0.25">
      <c r="A22" s="48" t="s">
        <v>55</v>
      </c>
      <c r="B22" s="75">
        <v>0.4</v>
      </c>
      <c r="C22" s="75">
        <v>0.8</v>
      </c>
      <c r="D22" s="75">
        <v>1</v>
      </c>
      <c r="E22" s="75"/>
      <c r="F22" s="75">
        <v>0.4</v>
      </c>
      <c r="G22" s="75">
        <v>0.8</v>
      </c>
      <c r="H22" s="75">
        <v>1</v>
      </c>
      <c r="I22" s="75"/>
      <c r="J22" s="75">
        <v>0.8</v>
      </c>
      <c r="K22" s="75">
        <v>0.8</v>
      </c>
      <c r="L22" s="75">
        <v>1</v>
      </c>
    </row>
    <row r="23" spans="1:12" ht="33" customHeight="1" x14ac:dyDescent="0.25">
      <c r="A23" s="48" t="s">
        <v>65</v>
      </c>
      <c r="B23" s="76">
        <f>D23*B22</f>
        <v>21782.546822930191</v>
      </c>
      <c r="C23" s="76">
        <f>D23*C22</f>
        <v>43565.093645860383</v>
      </c>
      <c r="D23" s="76">
        <f>PI()*(B9/2)^2*B10</f>
        <v>54456.367057325471</v>
      </c>
      <c r="E23" s="76"/>
      <c r="F23" s="76">
        <f>H23*F22</f>
        <v>19750.400000000001</v>
      </c>
      <c r="G23" s="76">
        <f>H23*G22</f>
        <v>39500.800000000003</v>
      </c>
      <c r="H23" s="76">
        <v>49376</v>
      </c>
      <c r="I23" s="76"/>
      <c r="J23" s="76">
        <f>L23*J22</f>
        <v>37864.800000000003</v>
      </c>
      <c r="K23" s="76">
        <f>L23*K22</f>
        <v>37864.800000000003</v>
      </c>
      <c r="L23" s="76">
        <v>47331</v>
      </c>
    </row>
    <row r="24" spans="1:12" x14ac:dyDescent="0.25">
      <c r="A24" s="49">
        <v>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x14ac:dyDescent="0.25">
      <c r="A25" s="46" t="s">
        <v>66</v>
      </c>
      <c r="B25" s="113">
        <v>0.66013257202490949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x14ac:dyDescent="0.25">
      <c r="A26" s="46" t="s">
        <v>68</v>
      </c>
      <c r="B26" s="77">
        <f>D26*B$22</f>
        <v>14362.415681570586</v>
      </c>
      <c r="C26" s="77">
        <f>D26*C$22</f>
        <v>28724.831363141173</v>
      </c>
      <c r="D26" s="77">
        <v>35906.039203926463</v>
      </c>
      <c r="E26" s="77"/>
      <c r="F26" s="77">
        <f>H26*F$22</f>
        <v>12954.335712789158</v>
      </c>
      <c r="G26" s="77">
        <f>H26*G$22</f>
        <v>25908.671425578315</v>
      </c>
      <c r="H26" s="77">
        <v>32385.839281972891</v>
      </c>
      <c r="I26" s="77"/>
      <c r="J26" s="77">
        <f>L26*J$22</f>
        <v>24969.951446390696</v>
      </c>
      <c r="K26" s="77">
        <f>L26*K$22</f>
        <v>24969.951446390696</v>
      </c>
      <c r="L26" s="77">
        <v>31212.43930798837</v>
      </c>
    </row>
    <row r="27" spans="1:12" x14ac:dyDescent="0.25">
      <c r="A27" s="46" t="s">
        <v>67</v>
      </c>
      <c r="B27" s="115">
        <v>19.5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 x14ac:dyDescent="0.25">
      <c r="A28" s="46" t="s">
        <v>29</v>
      </c>
      <c r="B28" s="112">
        <v>2.4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2" ht="17.25" x14ac:dyDescent="0.25">
      <c r="A29" s="46" t="s">
        <v>70</v>
      </c>
      <c r="B29" s="77">
        <f>C29*32</f>
        <v>30918.316631855385</v>
      </c>
      <c r="C29" s="77">
        <f>D29*320/32</f>
        <v>966.19739474548078</v>
      </c>
      <c r="D29" s="77">
        <v>96.619739474548084</v>
      </c>
      <c r="E29" s="77"/>
      <c r="F29" s="77">
        <f>G29*32</f>
        <v>30918.316631855385</v>
      </c>
      <c r="G29" s="77">
        <f>H29*320/32</f>
        <v>966.19739474548078</v>
      </c>
      <c r="H29" s="77">
        <v>96.619739474548084</v>
      </c>
      <c r="I29" s="77"/>
      <c r="J29" s="77">
        <f>K29*32</f>
        <v>30918.316631855385</v>
      </c>
      <c r="K29" s="77">
        <f>L29*320/32</f>
        <v>966.19739474548078</v>
      </c>
      <c r="L29" s="77">
        <v>96.619739474548084</v>
      </c>
    </row>
    <row r="30" spans="1:12" ht="17.25" x14ac:dyDescent="0.25">
      <c r="A30" s="50" t="s">
        <v>71</v>
      </c>
      <c r="B30" s="112">
        <v>982.21428571428567</v>
      </c>
      <c r="C30" s="112"/>
      <c r="D30" s="112"/>
      <c r="E30" s="78"/>
      <c r="F30" s="78">
        <f>G30*2</f>
        <v>1359.9890109890109</v>
      </c>
      <c r="G30" s="112">
        <v>679.99450549450546</v>
      </c>
      <c r="H30" s="112"/>
      <c r="I30" s="78"/>
      <c r="J30" s="112">
        <v>982.21428571428567</v>
      </c>
      <c r="K30" s="112"/>
      <c r="L30" s="112"/>
    </row>
    <row r="31" spans="1:12" ht="15" customHeight="1" x14ac:dyDescent="0.25">
      <c r="A31" s="46" t="s">
        <v>72</v>
      </c>
      <c r="B31" s="112">
        <v>29.200632374530088</v>
      </c>
      <c r="C31" s="112"/>
      <c r="D31" s="112"/>
      <c r="E31" s="78"/>
      <c r="F31" s="78">
        <f>G31*2</f>
        <v>40.431644826272439</v>
      </c>
      <c r="G31" s="113">
        <v>20.21582241313622</v>
      </c>
      <c r="H31" s="113"/>
      <c r="I31" s="71"/>
      <c r="J31" s="112">
        <v>29.200632374530088</v>
      </c>
      <c r="K31" s="112"/>
      <c r="L31" s="112"/>
    </row>
    <row r="32" spans="1:12" ht="20.25" customHeight="1" x14ac:dyDescent="0.25">
      <c r="A32" s="46" t="s">
        <v>74</v>
      </c>
      <c r="B32" s="115">
        <v>43.978011692961907</v>
      </c>
      <c r="C32" s="115"/>
      <c r="D32" s="115"/>
      <c r="E32" s="77"/>
      <c r="F32" s="77">
        <v>44.001419988271884</v>
      </c>
      <c r="G32" s="115">
        <v>17.490544220379448</v>
      </c>
      <c r="H32" s="115"/>
      <c r="I32" s="77"/>
      <c r="J32" s="77">
        <f>L32*(J$22)^2</f>
        <v>85.390703994629206</v>
      </c>
      <c r="K32" s="77">
        <f>L32*(K$22)^2</f>
        <v>85.390703994629206</v>
      </c>
      <c r="L32" s="77">
        <v>133.4229749916081</v>
      </c>
    </row>
    <row r="33" spans="1:14" ht="17.25" x14ac:dyDescent="0.25">
      <c r="A33" s="46" t="s">
        <v>179</v>
      </c>
      <c r="B33" s="113">
        <f>0.733876888770754/SQRT(10)</f>
        <v>0.23207224906736296</v>
      </c>
      <c r="C33" s="113"/>
      <c r="D33" s="113"/>
      <c r="E33" s="71"/>
      <c r="F33" s="71">
        <f>1.01586690745815/SQRT(10)</f>
        <v>0.32124532271592454</v>
      </c>
      <c r="G33" s="113">
        <f>0.805635327630726/SQRT(10)</f>
        <v>0.25476425988090778</v>
      </c>
      <c r="H33" s="113"/>
      <c r="I33" s="71"/>
      <c r="J33" s="71">
        <f>L33/J$22</f>
        <v>0.52666651758264171</v>
      </c>
      <c r="K33" s="71">
        <f>L33/K$22</f>
        <v>0.52666651758264171</v>
      </c>
      <c r="L33" s="71">
        <v>0.4213332140661134</v>
      </c>
    </row>
    <row r="34" spans="1:14" ht="17.25" x14ac:dyDescent="0.25">
      <c r="A34" s="46" t="s">
        <v>181</v>
      </c>
      <c r="B34" s="115">
        <v>103.74995883345601</v>
      </c>
      <c r="C34" s="115"/>
      <c r="D34" s="115"/>
      <c r="E34" s="77"/>
      <c r="F34" s="71">
        <v>143.61557291386018</v>
      </c>
      <c r="G34" s="115">
        <v>113.89462368336753</v>
      </c>
      <c r="H34" s="115"/>
      <c r="I34" s="77"/>
      <c r="J34" s="77">
        <f>L34/J$22</f>
        <v>74.456125208798397</v>
      </c>
      <c r="K34" s="77">
        <f>L34/K22</f>
        <v>74.456125208798397</v>
      </c>
      <c r="L34" s="77">
        <v>59.564900167038722</v>
      </c>
    </row>
    <row r="35" spans="1:14" x14ac:dyDescent="0.25">
      <c r="A35" s="46" t="s">
        <v>56</v>
      </c>
      <c r="B35" s="79">
        <f>(1216*$B33)/((B29/1000)^2)/($A24^2)</f>
        <v>7.3801487254424938E-2</v>
      </c>
      <c r="C35" s="80">
        <f>(1216*$B33)/((C29/1000)^2)/($A24^2)</f>
        <v>75.572722948531137</v>
      </c>
      <c r="D35" s="80">
        <f>(1216*$B33)/((D29/1000)^2)/($A24^2)</f>
        <v>7557.2722948531145</v>
      </c>
      <c r="E35" s="77"/>
      <c r="F35" s="81">
        <f>(1216*$F33)/((F29/1000)^2)/($A24^2)</f>
        <v>0.1021594899228178</v>
      </c>
      <c r="G35" s="82">
        <f>(1216*$G33)/((G29/1000)^2)/($A24^2)</f>
        <v>82.962219337042953</v>
      </c>
      <c r="H35" s="82">
        <f>(1216*$G33)/((H29/1000)^2)/($A24^2)</f>
        <v>8296.2219337042952</v>
      </c>
      <c r="I35" s="77"/>
      <c r="J35" s="71">
        <f>(1216*J33)/((J29/1000)^2)/($A$24^2)</f>
        <v>0.16748565345883024</v>
      </c>
      <c r="K35" s="77">
        <f>(1216*K33)/((K29/1000)^2)/($A$24^2)</f>
        <v>171.50530914184216</v>
      </c>
      <c r="L35" s="77">
        <f>(1216*L33)/((L29/1000)^2)/($A$24^2)</f>
        <v>13720.424731347377</v>
      </c>
    </row>
    <row r="36" spans="1:14" ht="19.5" customHeight="1" x14ac:dyDescent="0.25">
      <c r="A36" s="46" t="s">
        <v>180</v>
      </c>
      <c r="B36" s="80">
        <f>(1216*$B34)/((B29/1000)^2)/($A24^2)</f>
        <v>32.993609943737248</v>
      </c>
      <c r="C36" s="104">
        <f>(1216*$B34)/((C29/1000)^2)/($A24^2)</f>
        <v>33785.456582386942</v>
      </c>
      <c r="D36" s="104">
        <f>(1216*$B34)/((D29/1000)^2)/($A24^2)</f>
        <v>3378545.6582386945</v>
      </c>
      <c r="E36" s="102"/>
      <c r="F36" s="80">
        <f>(1216*$F34)/((F29/1000)^2)/($A24^2)</f>
        <v>45.671306744058967</v>
      </c>
      <c r="G36" s="104">
        <f>(1216*$G34)/((G29/1000)^2)/($A24^2)</f>
        <v>37088.996532506229</v>
      </c>
      <c r="H36" s="104">
        <f>(1216*$G34)/((H29/1000)^2)/($A24^2)</f>
        <v>3708899.653250623</v>
      </c>
      <c r="I36" s="102"/>
      <c r="J36" s="103"/>
      <c r="K36" s="102"/>
      <c r="L36" s="102"/>
    </row>
    <row r="37" spans="1:14" x14ac:dyDescent="0.25">
      <c r="A37" s="49">
        <v>30</v>
      </c>
      <c r="B37" s="83"/>
      <c r="C37" s="83"/>
      <c r="D37" s="83"/>
      <c r="E37" s="83"/>
      <c r="F37" s="84"/>
      <c r="G37" s="84"/>
      <c r="H37" s="84"/>
      <c r="I37" s="84"/>
      <c r="J37" s="83"/>
      <c r="K37" s="83"/>
      <c r="L37" s="83"/>
    </row>
    <row r="38" spans="1:14" x14ac:dyDescent="0.25">
      <c r="A38" s="46" t="s">
        <v>66</v>
      </c>
      <c r="B38" s="113">
        <v>0.76426261521871131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4" x14ac:dyDescent="0.25">
      <c r="A39" s="46" t="s">
        <v>68</v>
      </c>
      <c r="B39" s="77">
        <f>D39*B$22</f>
        <v>16627.959041598649</v>
      </c>
      <c r="C39" s="77">
        <f>D39*C$22</f>
        <v>33255.918083197299</v>
      </c>
      <c r="D39" s="77">
        <v>41569.897603996622</v>
      </c>
      <c r="E39" s="77"/>
      <c r="F39" s="77">
        <f>H39*F$22</f>
        <v>14997.766978696822</v>
      </c>
      <c r="G39" s="77">
        <f>H39*G$22</f>
        <v>29995.533957393644</v>
      </c>
      <c r="H39" s="77">
        <v>37494.417446742053</v>
      </c>
      <c r="I39" s="77"/>
      <c r="J39" s="77">
        <f>L39*J$22</f>
        <v>28908.739248792434</v>
      </c>
      <c r="K39" s="77">
        <f>L39*K$22</f>
        <v>28908.739248792434</v>
      </c>
      <c r="L39" s="77">
        <v>36135.924060990539</v>
      </c>
    </row>
    <row r="40" spans="1:14" x14ac:dyDescent="0.25">
      <c r="A40" s="46" t="s">
        <v>67</v>
      </c>
      <c r="B40" s="115">
        <v>32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4" x14ac:dyDescent="0.25">
      <c r="A41" s="46" t="s">
        <v>29</v>
      </c>
      <c r="B41" s="112">
        <v>20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1:14" ht="17.25" x14ac:dyDescent="0.25">
      <c r="A42" s="46" t="s">
        <v>70</v>
      </c>
      <c r="B42" s="77">
        <f>C42*32</f>
        <v>2061.2211087216515</v>
      </c>
      <c r="C42" s="77">
        <f>D42*320/32</f>
        <v>64.413159647551609</v>
      </c>
      <c r="D42" s="78">
        <v>6.4413159647551614</v>
      </c>
      <c r="E42" s="78"/>
      <c r="F42" s="77">
        <f>G42*32</f>
        <v>2061.2211087216515</v>
      </c>
      <c r="G42" s="77">
        <f>H42*320/32</f>
        <v>64.413159647551609</v>
      </c>
      <c r="H42" s="78">
        <v>6.4413159647551614</v>
      </c>
      <c r="I42" s="78"/>
      <c r="J42" s="77">
        <f>K42*32</f>
        <v>2061.2211087216515</v>
      </c>
      <c r="K42" s="77">
        <f>L42*320/32</f>
        <v>64.413159647551609</v>
      </c>
      <c r="L42" s="78">
        <v>6.4413159647551614</v>
      </c>
    </row>
    <row r="43" spans="1:14" ht="17.25" x14ac:dyDescent="0.25">
      <c r="A43" s="50" t="s">
        <v>73</v>
      </c>
      <c r="B43" s="112">
        <v>65.480952378769672</v>
      </c>
      <c r="C43" s="112"/>
      <c r="D43" s="112"/>
      <c r="E43" s="78"/>
      <c r="F43" s="78">
        <f>G43*2</f>
        <v>90.665934062911873</v>
      </c>
      <c r="G43" s="112">
        <v>45.332967031455937</v>
      </c>
      <c r="H43" s="112"/>
      <c r="I43" s="78"/>
      <c r="J43" s="112">
        <v>65.480952378769672</v>
      </c>
      <c r="K43" s="112"/>
      <c r="L43" s="112"/>
    </row>
    <row r="44" spans="1:14" ht="17.25" x14ac:dyDescent="0.25">
      <c r="A44" s="46" t="s">
        <v>72</v>
      </c>
      <c r="B44" s="113">
        <v>1.9467088249037825</v>
      </c>
      <c r="C44" s="113"/>
      <c r="D44" s="113"/>
      <c r="E44" s="71"/>
      <c r="F44" s="78">
        <f>G44*2</f>
        <v>2.6954429883283137</v>
      </c>
      <c r="G44" s="113">
        <v>1.3477214941641569</v>
      </c>
      <c r="H44" s="113"/>
      <c r="I44" s="71"/>
      <c r="J44" s="113">
        <v>1.9467088249037825</v>
      </c>
      <c r="K44" s="113"/>
      <c r="L44" s="113"/>
    </row>
    <row r="45" spans="1:14" ht="17.25" x14ac:dyDescent="0.25">
      <c r="A45" s="46" t="s">
        <v>74</v>
      </c>
      <c r="B45" s="113">
        <v>0.17270305082122517</v>
      </c>
      <c r="C45" s="113"/>
      <c r="D45" s="113"/>
      <c r="E45" s="71"/>
      <c r="F45" s="71">
        <v>0.17279497594150531</v>
      </c>
      <c r="G45" s="113">
        <v>6.8685923512692509E-2</v>
      </c>
      <c r="H45" s="113"/>
      <c r="I45" s="71"/>
      <c r="J45" s="71">
        <f>L45*(J$22)^2</f>
        <v>0.33533201079221919</v>
      </c>
      <c r="K45" s="71">
        <f>L45*(K$22)^2</f>
        <v>0.33533201079221919</v>
      </c>
      <c r="L45" s="71">
        <v>0.52395626686284236</v>
      </c>
      <c r="N45" s="106"/>
    </row>
    <row r="46" spans="1:14" ht="17.25" x14ac:dyDescent="0.25">
      <c r="A46" s="46" t="s">
        <v>179</v>
      </c>
      <c r="B46" s="123">
        <f>0.780727977250799/SQRT(10)</f>
        <v>0.24688786411286481</v>
      </c>
      <c r="C46" s="124"/>
      <c r="D46" s="125"/>
      <c r="E46" s="103"/>
      <c r="F46" s="103">
        <f>1.08072038778097/SQRT(10)</f>
        <v>0.34175379391682686</v>
      </c>
      <c r="G46" s="123">
        <f>0.85706751277652/SQRT(10)</f>
        <v>0.27102854489092665</v>
      </c>
      <c r="H46" s="125"/>
      <c r="I46" s="77"/>
      <c r="J46" s="71">
        <f>L46/J$22</f>
        <v>0.56028918644209014</v>
      </c>
      <c r="K46" s="71">
        <f>L46/K$22</f>
        <v>0.56028918644209014</v>
      </c>
      <c r="L46" s="71">
        <v>0.44823134915367213</v>
      </c>
      <c r="N46" s="106"/>
    </row>
    <row r="47" spans="1:14" ht="17.25" x14ac:dyDescent="0.25">
      <c r="A47" s="46" t="s">
        <v>181</v>
      </c>
      <c r="B47" s="115">
        <f>85.49487656741</f>
        <v>85.494876567410003</v>
      </c>
      <c r="C47" s="115"/>
      <c r="D47" s="115"/>
      <c r="E47" s="102"/>
      <c r="F47" s="103">
        <v>118.34602941036513</v>
      </c>
      <c r="G47" s="115">
        <v>93.854560551026708</v>
      </c>
      <c r="H47" s="115"/>
      <c r="I47" s="77"/>
      <c r="J47" s="77">
        <f>L47/J$22</f>
        <v>61.355371182674084</v>
      </c>
      <c r="K47" s="77">
        <f>L47/K$22</f>
        <v>61.355371182674084</v>
      </c>
      <c r="L47" s="77">
        <v>49.084296946139268</v>
      </c>
      <c r="N47" s="105"/>
    </row>
    <row r="48" spans="1:14" ht="16.5" customHeight="1" x14ac:dyDescent="0.25">
      <c r="A48" s="46" t="s">
        <v>56</v>
      </c>
      <c r="B48" s="79">
        <f>(1216*$B46)/((B42/1000)^2)/($A37^2)</f>
        <v>7.8513013214792593E-2</v>
      </c>
      <c r="C48" s="80">
        <f>(1216*$B46)/((C42/1000)^2)/($A37^2)</f>
        <v>80.397325531947615</v>
      </c>
      <c r="D48" s="104">
        <f>(1216*$B46)/((D42/1000)^2)/($A37^2)</f>
        <v>8039.7325531947581</v>
      </c>
      <c r="E48" s="102"/>
      <c r="F48" s="79">
        <f>(1216*$F46)/((F42/1000)^2)/($A37^2)</f>
        <v>0.10868140576456616</v>
      </c>
      <c r="G48" s="80">
        <f>(1216*$G46)/((G42/1000)^2)/($A37^2)</f>
        <v>88.258571276248006</v>
      </c>
      <c r="H48" s="104">
        <f>(1216*$G46)/((H42/1000)^2)/($A37^2)</f>
        <v>8825.8571276247949</v>
      </c>
      <c r="I48" s="77"/>
      <c r="J48" s="71">
        <f>(1216*J46)/((J42/1000)^2)/($A$37^2)</f>
        <v>0.17817802611441114</v>
      </c>
      <c r="K48" s="77">
        <f>(1216*K46)/((K42/1000)^2)/($A$37^2)</f>
        <v>182.454298741157</v>
      </c>
      <c r="L48" s="77">
        <f>(1216*L46)/((L42/1000)^2)/($A$37^2)</f>
        <v>14596.343899292557</v>
      </c>
    </row>
    <row r="49" spans="1:12" ht="16.5" customHeight="1" x14ac:dyDescent="0.25">
      <c r="A49" s="46" t="s">
        <v>180</v>
      </c>
      <c r="B49" s="80">
        <f>(1216*$B47)/((B42/1000)^2)/($A37^2)</f>
        <v>27.188296183993561</v>
      </c>
      <c r="C49" s="104">
        <f>(1216*$B47)/((C42/1000)^2)/($A37^2)</f>
        <v>27840.815292409407</v>
      </c>
      <c r="D49" s="104">
        <f>(1216*$B47)/((D42/1000)^2)/($A37^2)</f>
        <v>2784081.5292409393</v>
      </c>
      <c r="E49" s="102"/>
      <c r="F49" s="80">
        <f>(1216*$F47)/((F42/1000)^2)/($A37^2)</f>
        <v>37.635318383922382</v>
      </c>
      <c r="G49" s="104">
        <f>(1216*$G47)/((G42/1000)^2)/($A37^2)</f>
        <v>30563.088568133448</v>
      </c>
      <c r="H49" s="104">
        <f>(1216*$G47)/((H42/1000)^2)/($A37^2)</f>
        <v>3056308.8568133432</v>
      </c>
      <c r="I49" s="102"/>
      <c r="J49" s="103"/>
      <c r="K49" s="102"/>
      <c r="L49" s="102"/>
    </row>
    <row r="50" spans="1:12" x14ac:dyDescent="0.25">
      <c r="A50" s="49">
        <v>100</v>
      </c>
      <c r="B50" s="83"/>
      <c r="C50" s="83"/>
      <c r="D50" s="83"/>
      <c r="E50" s="83"/>
      <c r="F50" s="84"/>
      <c r="G50" s="84"/>
      <c r="H50" s="84"/>
      <c r="I50" s="84"/>
      <c r="J50" s="83"/>
      <c r="K50" s="83"/>
      <c r="L50" s="83"/>
    </row>
    <row r="51" spans="1:12" x14ac:dyDescent="0.25">
      <c r="A51" s="46" t="s">
        <v>66</v>
      </c>
      <c r="B51" s="113">
        <v>0.4493662179265891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</row>
    <row r="52" spans="1:12" x14ac:dyDescent="0.25">
      <c r="A52" s="46" t="s">
        <v>68</v>
      </c>
      <c r="B52" s="77">
        <f>D52*B$22</f>
        <v>9776.8004316462866</v>
      </c>
      <c r="C52" s="77">
        <f>D52*C$22</f>
        <v>19553.600863292573</v>
      </c>
      <c r="D52" s="77">
        <v>24442.001079115715</v>
      </c>
      <c r="E52" s="77"/>
      <c r="F52" s="77">
        <f>H52*F$22</f>
        <v>8818.2905854064556</v>
      </c>
      <c r="G52" s="77">
        <f>H52*G$22</f>
        <v>17636.581170812911</v>
      </c>
      <c r="H52" s="77">
        <v>22045.726463516137</v>
      </c>
      <c r="I52" s="77"/>
      <c r="J52" s="77">
        <f>L52*J$22</f>
        <v>16997.574606653026</v>
      </c>
      <c r="K52" s="77">
        <f>L52*K$22</f>
        <v>16997.574606653026</v>
      </c>
      <c r="L52" s="77">
        <v>21246.968258316283</v>
      </c>
    </row>
    <row r="53" spans="1:12" x14ac:dyDescent="0.25">
      <c r="A53" s="46" t="s">
        <v>67</v>
      </c>
      <c r="B53" s="115">
        <v>80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2" x14ac:dyDescent="0.25">
      <c r="A54" s="46" t="s">
        <v>29</v>
      </c>
      <c r="B54" s="112">
        <v>20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1:12" ht="17.25" x14ac:dyDescent="0.25">
      <c r="A55" s="46" t="s">
        <v>70</v>
      </c>
      <c r="B55" s="110">
        <f>C55*32</f>
        <v>618.36633263710769</v>
      </c>
      <c r="C55" s="110">
        <f>D55*320/32</f>
        <v>19.323947894909615</v>
      </c>
      <c r="D55" s="107">
        <v>1.9323947894909617</v>
      </c>
      <c r="E55" s="107"/>
      <c r="F55" s="110">
        <f>G55*32</f>
        <v>618.36633263710769</v>
      </c>
      <c r="G55" s="110">
        <f>H55*320/32</f>
        <v>19.323947894909615</v>
      </c>
      <c r="H55" s="107">
        <v>1.9323947894909617</v>
      </c>
      <c r="I55" s="107"/>
      <c r="J55" s="110">
        <f>K55*32</f>
        <v>618.36633263710769</v>
      </c>
      <c r="K55" s="110">
        <f>L55*320/32</f>
        <v>19.323947894909615</v>
      </c>
      <c r="L55" s="107">
        <v>1.9323947894909617</v>
      </c>
    </row>
    <row r="56" spans="1:12" ht="17.25" x14ac:dyDescent="0.25">
      <c r="A56" s="50" t="s">
        <v>73</v>
      </c>
      <c r="B56" s="112">
        <v>19.644285714285715</v>
      </c>
      <c r="C56" s="112"/>
      <c r="D56" s="112"/>
      <c r="E56" s="107"/>
      <c r="F56" s="107">
        <f>G56*2</f>
        <v>27.199780219780223</v>
      </c>
      <c r="G56" s="112">
        <v>13.599890109890111</v>
      </c>
      <c r="H56" s="112"/>
      <c r="I56" s="107"/>
      <c r="J56" s="112">
        <v>19.644285714285715</v>
      </c>
      <c r="K56" s="112"/>
      <c r="L56" s="112"/>
    </row>
    <row r="57" spans="1:12" ht="17.25" x14ac:dyDescent="0.25">
      <c r="A57" s="46" t="s">
        <v>72</v>
      </c>
      <c r="B57" s="113">
        <v>0.58401264749060178</v>
      </c>
      <c r="C57" s="113"/>
      <c r="D57" s="113"/>
      <c r="E57" s="109"/>
      <c r="F57" s="107">
        <f>G57*2</f>
        <v>0.80863289652544867</v>
      </c>
      <c r="G57" s="113">
        <v>0.40431644826272434</v>
      </c>
      <c r="H57" s="113"/>
      <c r="I57" s="108"/>
      <c r="J57" s="114">
        <v>0.58401264749060178</v>
      </c>
      <c r="K57" s="114"/>
      <c r="L57" s="114"/>
    </row>
    <row r="58" spans="1:12" ht="23.25" customHeight="1" x14ac:dyDescent="0.25">
      <c r="A58" s="46" t="s">
        <v>74</v>
      </c>
      <c r="B58" s="126">
        <v>8.3000000000000001E-3</v>
      </c>
      <c r="C58" s="126"/>
      <c r="D58" s="126"/>
      <c r="E58" s="111"/>
      <c r="F58" s="111">
        <v>8.3000000000000001E-3</v>
      </c>
      <c r="G58" s="126">
        <f>0.000395432420943954*8.3</f>
        <v>3.2820890938348186E-3</v>
      </c>
      <c r="H58" s="126"/>
      <c r="I58" s="111"/>
      <c r="J58" s="111">
        <f>L58*(J$22)^2</f>
        <v>1.9305432913494711E-3</v>
      </c>
      <c r="K58" s="111">
        <f>L58*(K$22)^2</f>
        <v>1.9305432913494711E-3</v>
      </c>
      <c r="L58" s="111">
        <v>3.0164738927335481E-3</v>
      </c>
    </row>
    <row r="59" spans="1:12" ht="17.25" x14ac:dyDescent="0.25">
      <c r="A59" s="46" t="s">
        <v>179</v>
      </c>
      <c r="B59" s="113">
        <v>0.33700000000000002</v>
      </c>
      <c r="C59" s="113"/>
      <c r="D59" s="113"/>
      <c r="E59" s="108"/>
      <c r="F59" s="108">
        <f>B59*1.1*(0.5/0.4)</f>
        <v>0.46337500000000004</v>
      </c>
      <c r="G59" s="113">
        <f>B59*1.1</f>
        <v>0.37070000000000003</v>
      </c>
      <c r="H59" s="113"/>
      <c r="I59" s="108"/>
      <c r="J59" s="108">
        <f>L59/J$22</f>
        <v>2.2152932772924872</v>
      </c>
      <c r="K59" s="108">
        <f>L59/K$22</f>
        <v>2.2152932772924872</v>
      </c>
      <c r="L59" s="108">
        <v>1.7722346218339897</v>
      </c>
    </row>
    <row r="60" spans="1:12" ht="17.25" x14ac:dyDescent="0.25">
      <c r="A60" s="46" t="s">
        <v>181</v>
      </c>
      <c r="B60" s="115">
        <v>83</v>
      </c>
      <c r="C60" s="115"/>
      <c r="D60" s="115"/>
      <c r="E60" s="110"/>
      <c r="F60" s="110">
        <f>B60*1.1*(0.5/0.4)</f>
        <v>114.12500000000001</v>
      </c>
      <c r="G60" s="115">
        <f>B60*1.1</f>
        <v>91.300000000000011</v>
      </c>
      <c r="H60" s="115"/>
      <c r="I60" s="110"/>
      <c r="J60" s="110">
        <f>L60/J$22</f>
        <v>159.26765445994491</v>
      </c>
      <c r="K60" s="110">
        <f>L60/K47</f>
        <v>2.0766580188815795</v>
      </c>
      <c r="L60" s="110">
        <v>127.41412356795593</v>
      </c>
    </row>
    <row r="61" spans="1:12" ht="17.25" customHeight="1" x14ac:dyDescent="0.25">
      <c r="A61" s="46" t="s">
        <v>56</v>
      </c>
      <c r="B61" s="79">
        <f>(1216*$B59)/((B55/1000)^2)/($A50^2)</f>
        <v>0.10716964783463594</v>
      </c>
      <c r="C61" s="80">
        <f>(1216*$B59)/((C55/1000)^2)/($A50^2)</f>
        <v>109.7417193826672</v>
      </c>
      <c r="D61" s="80">
        <f>(1216*$B59)/((D55/1000)^2)/($A50^2)</f>
        <v>10974.17193826672</v>
      </c>
      <c r="E61" s="77"/>
      <c r="F61" s="79">
        <f>(1216*$F59)/((F55/1000)^2)/($A50^2)</f>
        <v>0.1473582657726244</v>
      </c>
      <c r="G61" s="80">
        <f>(1216*$G59)/((G55/1000)^2)/($A50^2)</f>
        <v>120.71589132093392</v>
      </c>
      <c r="H61" s="80">
        <f>(1216*$G59)/((H55/1000)^2)/($A50^2)</f>
        <v>12071.589132093392</v>
      </c>
      <c r="I61" s="77"/>
      <c r="J61" s="71">
        <f>(1216*J59)/((J55/1000)^2)/($A$50^2)</f>
        <v>0.70448724147736586</v>
      </c>
      <c r="K61" s="77">
        <f>(1216*K59)/((K55/1000)^2)/($A$50^2)</f>
        <v>721.39493527282264</v>
      </c>
      <c r="L61" s="77">
        <f>(1216*L59)/((L55/1000)^2)/($A$50^2)</f>
        <v>57711.594821825813</v>
      </c>
    </row>
    <row r="62" spans="1:12" ht="16.5" customHeight="1" x14ac:dyDescent="0.25">
      <c r="A62" s="46" t="s">
        <v>180</v>
      </c>
      <c r="B62" s="80">
        <f>(1216*$B60)/((B55/1000)^2)/($A50^2)</f>
        <v>26.394898428115081</v>
      </c>
      <c r="C62" s="104">
        <f>(1216*$B60)/((C55/1000)^2)/($A50^2)</f>
        <v>27028.375990389843</v>
      </c>
      <c r="D62" s="104">
        <f>(1216*$B60)/((D55/1000)^2)/($A50^2)</f>
        <v>2702837.5990389842</v>
      </c>
      <c r="E62" s="102"/>
      <c r="F62" s="80">
        <f>(1216*$F60)/((F55/1000)^2)/($A50^2)</f>
        <v>36.292985338658241</v>
      </c>
      <c r="G62" s="104">
        <f>(1216*$G60)/((G55/1000)^2)/($A50^2)</f>
        <v>29731.213589428829</v>
      </c>
      <c r="H62" s="104">
        <f>(1216*$G60)/((H55/1000)^2)/($A50^2)</f>
        <v>2973121.3589428831</v>
      </c>
      <c r="I62" s="102"/>
      <c r="J62" s="103"/>
      <c r="K62" s="102"/>
      <c r="L62" s="102"/>
    </row>
    <row r="63" spans="1:12" x14ac:dyDescent="0.25">
      <c r="A63" s="4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5" spans="1:1" x14ac:dyDescent="0.25">
      <c r="A65" s="30" t="s">
        <v>69</v>
      </c>
    </row>
    <row r="66" spans="1:1" ht="20.25" customHeight="1" x14ac:dyDescent="0.25">
      <c r="A66" s="26" t="s">
        <v>75</v>
      </c>
    </row>
    <row r="67" spans="1:1" ht="20.25" customHeight="1" x14ac:dyDescent="0.25">
      <c r="A67" s="26" t="s">
        <v>76</v>
      </c>
    </row>
    <row r="68" spans="1:1" ht="20.25" customHeight="1" x14ac:dyDescent="0.25">
      <c r="A68" s="29" t="s">
        <v>77</v>
      </c>
    </row>
    <row r="69" spans="1:1" ht="17.25" x14ac:dyDescent="0.25">
      <c r="A69" s="26" t="s">
        <v>182</v>
      </c>
    </row>
    <row r="70" spans="1:1" x14ac:dyDescent="0.25">
      <c r="A70" s="26"/>
    </row>
  </sheetData>
  <mergeCells count="78">
    <mergeCell ref="G60:H60"/>
    <mergeCell ref="G43:H43"/>
    <mergeCell ref="G44:H44"/>
    <mergeCell ref="G32:H32"/>
    <mergeCell ref="G33:H33"/>
    <mergeCell ref="G34:H34"/>
    <mergeCell ref="G45:H45"/>
    <mergeCell ref="G46:H46"/>
    <mergeCell ref="B41:L41"/>
    <mergeCell ref="B51:L51"/>
    <mergeCell ref="G47:H47"/>
    <mergeCell ref="G58:H58"/>
    <mergeCell ref="B57:D57"/>
    <mergeCell ref="B44:D44"/>
    <mergeCell ref="B43:D43"/>
    <mergeCell ref="B60:D60"/>
    <mergeCell ref="B19:D19"/>
    <mergeCell ref="B20:D20"/>
    <mergeCell ref="F19:H19"/>
    <mergeCell ref="J19:L19"/>
    <mergeCell ref="G59:H59"/>
    <mergeCell ref="B32:D32"/>
    <mergeCell ref="B33:D33"/>
    <mergeCell ref="B34:D34"/>
    <mergeCell ref="B45:D45"/>
    <mergeCell ref="B46:D46"/>
    <mergeCell ref="B47:D47"/>
    <mergeCell ref="B59:D59"/>
    <mergeCell ref="B58:D58"/>
    <mergeCell ref="B56:D56"/>
    <mergeCell ref="B25:L25"/>
    <mergeCell ref="B27:L27"/>
    <mergeCell ref="B28:L28"/>
    <mergeCell ref="G30:H30"/>
    <mergeCell ref="J20:L20"/>
    <mergeCell ref="F20:H20"/>
    <mergeCell ref="G31:H31"/>
    <mergeCell ref="B38:L38"/>
    <mergeCell ref="J30:L30"/>
    <mergeCell ref="J31:L31"/>
    <mergeCell ref="B40:L40"/>
    <mergeCell ref="B31:D31"/>
    <mergeCell ref="B30:D30"/>
    <mergeCell ref="F5:H5"/>
    <mergeCell ref="B4:D4"/>
    <mergeCell ref="J5:L5"/>
    <mergeCell ref="B9:D9"/>
    <mergeCell ref="F6:H6"/>
    <mergeCell ref="J6:L6"/>
    <mergeCell ref="J7:L7"/>
    <mergeCell ref="F4:H4"/>
    <mergeCell ref="J4:L4"/>
    <mergeCell ref="B5:D5"/>
    <mergeCell ref="B6:D6"/>
    <mergeCell ref="B7:D7"/>
    <mergeCell ref="F7:H7"/>
    <mergeCell ref="F10:H10"/>
    <mergeCell ref="J9:L9"/>
    <mergeCell ref="J10:L10"/>
    <mergeCell ref="F17:H17"/>
    <mergeCell ref="J17:L17"/>
    <mergeCell ref="B16:H16"/>
    <mergeCell ref="B17:D17"/>
    <mergeCell ref="B10:D10"/>
    <mergeCell ref="B11:H11"/>
    <mergeCell ref="B12:H12"/>
    <mergeCell ref="B13:H13"/>
    <mergeCell ref="B14:H14"/>
    <mergeCell ref="F9:H9"/>
    <mergeCell ref="B15:H15"/>
    <mergeCell ref="J43:L43"/>
    <mergeCell ref="J44:L44"/>
    <mergeCell ref="J56:L56"/>
    <mergeCell ref="J57:L57"/>
    <mergeCell ref="B53:L53"/>
    <mergeCell ref="B54:L54"/>
    <mergeCell ref="G56:H56"/>
    <mergeCell ref="G57:H57"/>
  </mergeCells>
  <pageMargins left="0.7" right="0.7" top="0.75" bottom="0.75" header="0.3" footer="0.3"/>
  <pageSetup paperSize="119" scale="8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9"/>
  <sheetViews>
    <sheetView workbookViewId="0">
      <selection activeCell="C21" sqref="C21"/>
    </sheetView>
  </sheetViews>
  <sheetFormatPr defaultColWidth="8.85546875" defaultRowHeight="15" x14ac:dyDescent="0.25"/>
  <cols>
    <col min="1" max="1" width="33.42578125" style="4" customWidth="1"/>
    <col min="2" max="2" width="14.28515625" style="4" customWidth="1"/>
    <col min="3" max="3" width="15.28515625" style="4" customWidth="1"/>
    <col min="4" max="5" width="15.42578125" style="4" customWidth="1"/>
    <col min="6" max="6" width="56.42578125" style="4" customWidth="1"/>
    <col min="7" max="16384" width="8.85546875" style="4"/>
  </cols>
  <sheetData>
    <row r="1" spans="1:6" ht="18.75" x14ac:dyDescent="0.25">
      <c r="A1" s="16" t="str">
        <f>Concepts!A1</f>
        <v>ngVLA Concepts &amp; Options</v>
      </c>
      <c r="B1" s="16"/>
      <c r="C1" s="16"/>
    </row>
    <row r="2" spans="1:6" ht="18.75" x14ac:dyDescent="0.25">
      <c r="A2" s="16" t="s">
        <v>53</v>
      </c>
      <c r="B2" s="16"/>
      <c r="C2" s="16"/>
    </row>
    <row r="3" spans="1:6" ht="18.75" x14ac:dyDescent="0.25">
      <c r="A3" s="16" t="str">
        <f>Concepts!A3</f>
        <v>2017-06-28 V2.9</v>
      </c>
      <c r="B3" s="16"/>
      <c r="C3" s="16"/>
    </row>
    <row r="4" spans="1:6" ht="18.75" x14ac:dyDescent="0.25">
      <c r="A4" s="16"/>
      <c r="B4" s="16"/>
      <c r="C4" s="16"/>
    </row>
    <row r="5" spans="1:6" ht="18.75" x14ac:dyDescent="0.25">
      <c r="A5" s="127" t="s">
        <v>135</v>
      </c>
      <c r="B5" s="127"/>
      <c r="C5" s="127"/>
      <c r="D5" s="127"/>
      <c r="E5" s="127"/>
      <c r="F5" s="127"/>
    </row>
    <row r="7" spans="1:6" s="3" customFormat="1" ht="30" x14ac:dyDescent="0.25">
      <c r="A7" s="32" t="s">
        <v>51</v>
      </c>
      <c r="B7" s="39" t="s">
        <v>95</v>
      </c>
      <c r="C7" s="39" t="s">
        <v>94</v>
      </c>
      <c r="D7" s="87" t="s">
        <v>10</v>
      </c>
      <c r="E7" s="87" t="s">
        <v>11</v>
      </c>
      <c r="F7" s="40" t="s">
        <v>9</v>
      </c>
    </row>
    <row r="8" spans="1:6" s="3" customFormat="1" x14ac:dyDescent="0.25">
      <c r="A8" s="5" t="s">
        <v>161</v>
      </c>
      <c r="B8" s="36">
        <f>1551600000-B$29</f>
        <v>56930000</v>
      </c>
      <c r="C8" s="36">
        <f>77770000-C$29</f>
        <v>12780000</v>
      </c>
      <c r="D8" s="86">
        <f t="shared" ref="D8:D9" si="0">B8/$B$29</f>
        <v>3.8088675092160809E-2</v>
      </c>
      <c r="E8" s="86">
        <f t="shared" ref="E8:E9" si="1">C8/$C$29</f>
        <v>0.19664563779042929</v>
      </c>
      <c r="F8" s="58" t="s">
        <v>164</v>
      </c>
    </row>
    <row r="9" spans="1:6" s="3" customFormat="1" x14ac:dyDescent="0.25">
      <c r="A9" s="5" t="s">
        <v>162</v>
      </c>
      <c r="B9" s="36">
        <f>1481510000-B$29</f>
        <v>-13160000</v>
      </c>
      <c r="C9" s="36">
        <f>56700000-C$29</f>
        <v>-8290000</v>
      </c>
      <c r="D9" s="86">
        <f t="shared" si="0"/>
        <v>-8.8046190797968788E-3</v>
      </c>
      <c r="E9" s="86">
        <f t="shared" si="1"/>
        <v>-0.12755808585936299</v>
      </c>
      <c r="F9" s="58" t="s">
        <v>164</v>
      </c>
    </row>
    <row r="10" spans="1:6" ht="30" x14ac:dyDescent="0.25">
      <c r="A10" s="5" t="s">
        <v>132</v>
      </c>
      <c r="B10" s="36">
        <f>1666260000-B29</f>
        <v>171590000</v>
      </c>
      <c r="C10" s="36">
        <f>71600000-C29</f>
        <v>6610000</v>
      </c>
      <c r="D10" s="86">
        <f t="shared" ref="D10:D24" si="2">B10/$B$29</f>
        <v>0.1148012604789017</v>
      </c>
      <c r="E10" s="86">
        <f t="shared" ref="E10:E24" si="3">C10/$C$29</f>
        <v>0.10170795507001078</v>
      </c>
      <c r="F10" s="31" t="s">
        <v>133</v>
      </c>
    </row>
    <row r="11" spans="1:6" ht="30" x14ac:dyDescent="0.25">
      <c r="A11" s="5" t="s">
        <v>3</v>
      </c>
      <c r="B11" s="36">
        <f>1673170000-B29</f>
        <v>178500000</v>
      </c>
      <c r="C11" s="37">
        <f>71630000-C29</f>
        <v>6640000</v>
      </c>
      <c r="D11" s="86">
        <f t="shared" si="2"/>
        <v>0.11942435453979808</v>
      </c>
      <c r="E11" s="86">
        <f t="shared" si="3"/>
        <v>0.10216956454839206</v>
      </c>
      <c r="F11" s="31" t="s">
        <v>111</v>
      </c>
    </row>
    <row r="12" spans="1:6" ht="60" x14ac:dyDescent="0.25">
      <c r="A12" s="5" t="s">
        <v>157</v>
      </c>
      <c r="B12" s="36">
        <f>1579700000-1518600000</f>
        <v>61100000</v>
      </c>
      <c r="C12" s="36">
        <f>64390000-64320000</f>
        <v>70000</v>
      </c>
      <c r="D12" s="86">
        <f t="shared" si="2"/>
        <v>4.0878588584771218E-2</v>
      </c>
      <c r="E12" s="86">
        <f t="shared" si="3"/>
        <v>1.0770887828896753E-3</v>
      </c>
      <c r="F12" s="31" t="s">
        <v>183</v>
      </c>
    </row>
    <row r="13" spans="1:6" ht="30" x14ac:dyDescent="0.25">
      <c r="A13" s="5" t="s">
        <v>120</v>
      </c>
      <c r="B13" s="36">
        <f>1575860000-B29</f>
        <v>81190000</v>
      </c>
      <c r="C13" s="36">
        <f>78850000-C29</f>
        <v>13860000</v>
      </c>
      <c r="D13" s="86">
        <f t="shared" si="2"/>
        <v>5.4319682605524965E-2</v>
      </c>
      <c r="E13" s="86">
        <f t="shared" si="3"/>
        <v>0.21326357901215573</v>
      </c>
      <c r="F13" s="31" t="s">
        <v>97</v>
      </c>
    </row>
    <row r="14" spans="1:6" ht="45" x14ac:dyDescent="0.25">
      <c r="A14" s="5" t="s">
        <v>140</v>
      </c>
      <c r="B14" s="36">
        <f>1623360000-B29</f>
        <v>128690000</v>
      </c>
      <c r="C14" s="36">
        <f>69950000-C29</f>
        <v>4960000</v>
      </c>
      <c r="D14" s="86">
        <f t="shared" si="2"/>
        <v>8.6099272749168718E-2</v>
      </c>
      <c r="E14" s="86">
        <f t="shared" si="3"/>
        <v>7.6319433759039851E-2</v>
      </c>
      <c r="F14" s="31" t="s">
        <v>144</v>
      </c>
    </row>
    <row r="15" spans="1:6" hidden="1" x14ac:dyDescent="0.25">
      <c r="A15" s="5" t="s">
        <v>116</v>
      </c>
      <c r="B15" s="36">
        <f>100000*215</f>
        <v>21500000</v>
      </c>
      <c r="C15" s="37">
        <f>C17*2</f>
        <v>-9719999.9999999925</v>
      </c>
      <c r="D15" s="86">
        <f t="shared" si="2"/>
        <v>1.4384446065017696E-2</v>
      </c>
      <c r="E15" s="86">
        <f t="shared" si="3"/>
        <v>-0.14956147099553765</v>
      </c>
      <c r="F15" s="31" t="s">
        <v>117</v>
      </c>
    </row>
    <row r="16" spans="1:6" hidden="1" x14ac:dyDescent="0.25">
      <c r="A16" s="5" t="s">
        <v>115</v>
      </c>
      <c r="B16" s="36">
        <f>100000*215</f>
        <v>21500000</v>
      </c>
      <c r="C16" s="37">
        <f>C18*2</f>
        <v>-9719999.9999999925</v>
      </c>
      <c r="D16" s="86">
        <f t="shared" si="2"/>
        <v>1.4384446065017696E-2</v>
      </c>
      <c r="E16" s="86">
        <f t="shared" si="3"/>
        <v>-0.14956147099553765</v>
      </c>
      <c r="F16" s="31" t="s">
        <v>117</v>
      </c>
    </row>
    <row r="17" spans="1:6" ht="30" x14ac:dyDescent="0.25">
      <c r="A17" s="5" t="s">
        <v>159</v>
      </c>
      <c r="B17" s="38">
        <f>-(1494.67-1427.48)/2*10^6</f>
        <v>-33595000.00000003</v>
      </c>
      <c r="C17" s="38">
        <f>C18</f>
        <v>-4859999.9999999963</v>
      </c>
      <c r="D17" s="86">
        <f t="shared" si="2"/>
        <v>-2.2476533281593949E-2</v>
      </c>
      <c r="E17" s="86">
        <f t="shared" si="3"/>
        <v>-7.4780735497768827E-2</v>
      </c>
      <c r="F17" s="31" t="s">
        <v>145</v>
      </c>
    </row>
    <row r="18" spans="1:6" ht="30" x14ac:dyDescent="0.25">
      <c r="A18" s="5" t="s">
        <v>160</v>
      </c>
      <c r="B18" s="38">
        <f>-(1494.67-1427.48)/2*10^6</f>
        <v>-33595000.00000003</v>
      </c>
      <c r="C18" s="38">
        <f>-(64.99-55.27)/2*10^6</f>
        <v>-4859999.9999999963</v>
      </c>
      <c r="D18" s="86">
        <f t="shared" si="2"/>
        <v>-2.2476533281593949E-2</v>
      </c>
      <c r="E18" s="86">
        <f t="shared" si="3"/>
        <v>-7.4780735497768827E-2</v>
      </c>
      <c r="F18" s="31" t="s">
        <v>146</v>
      </c>
    </row>
    <row r="19" spans="1:6" ht="45" x14ac:dyDescent="0.25">
      <c r="A19" s="5" t="s">
        <v>141</v>
      </c>
      <c r="B19" s="38">
        <f>1629370000-B29</f>
        <v>134700000</v>
      </c>
      <c r="C19" s="36">
        <f>70180000-C29</f>
        <v>5190000</v>
      </c>
      <c r="D19" s="86">
        <f t="shared" si="2"/>
        <v>9.0120227207343431E-2</v>
      </c>
      <c r="E19" s="86">
        <f t="shared" si="3"/>
        <v>7.9858439759963068E-2</v>
      </c>
      <c r="F19" s="31" t="s">
        <v>142</v>
      </c>
    </row>
    <row r="20" spans="1:6" ht="105" x14ac:dyDescent="0.25">
      <c r="A20" s="5" t="s">
        <v>139</v>
      </c>
      <c r="B20" s="38">
        <f>1332550000-B29</f>
        <v>-162120000</v>
      </c>
      <c r="C20" s="36">
        <f>65360000-C29</f>
        <v>370000</v>
      </c>
      <c r="D20" s="86">
        <f t="shared" si="2"/>
        <v>-0.10846541377026367</v>
      </c>
      <c r="E20" s="86">
        <f t="shared" si="3"/>
        <v>5.6931835667025695E-3</v>
      </c>
      <c r="F20" s="31" t="s">
        <v>143</v>
      </c>
    </row>
    <row r="21" spans="1:6" x14ac:dyDescent="0.25">
      <c r="A21" s="5" t="s">
        <v>96</v>
      </c>
      <c r="B21" s="38">
        <f>B19*0.4+230046000</f>
        <v>283926000</v>
      </c>
      <c r="C21" s="36">
        <f>B21*0.08</f>
        <v>22714080</v>
      </c>
      <c r="D21" s="86">
        <f t="shared" si="2"/>
        <v>0.18995898760261462</v>
      </c>
      <c r="E21" s="86">
        <f t="shared" si="3"/>
        <v>0.34950115402369597</v>
      </c>
      <c r="F21" s="31" t="s">
        <v>188</v>
      </c>
    </row>
    <row r="22" spans="1:6" ht="60" x14ac:dyDescent="0.25">
      <c r="A22" s="5" t="s">
        <v>184</v>
      </c>
      <c r="B22" s="36">
        <f>1520230000+16000000-B29</f>
        <v>41560000</v>
      </c>
      <c r="C22" s="36">
        <f>65270000+511000-C29</f>
        <v>791000</v>
      </c>
      <c r="D22" s="86">
        <f t="shared" si="2"/>
        <v>2.780546876568072E-2</v>
      </c>
      <c r="E22" s="86">
        <f t="shared" si="3"/>
        <v>1.2171103246653331E-2</v>
      </c>
      <c r="F22" s="31" t="s">
        <v>138</v>
      </c>
    </row>
    <row r="23" spans="1:6" ht="30" x14ac:dyDescent="0.25">
      <c r="A23" s="5" t="s">
        <v>92</v>
      </c>
      <c r="B23" s="38">
        <v>117000000</v>
      </c>
      <c r="C23" s="38">
        <f>B23*0.05</f>
        <v>5850000</v>
      </c>
      <c r="D23" s="86">
        <f t="shared" si="2"/>
        <v>7.8278148353817231E-2</v>
      </c>
      <c r="E23" s="86">
        <f t="shared" si="3"/>
        <v>9.0013848284351439E-2</v>
      </c>
      <c r="F23" s="31" t="s">
        <v>91</v>
      </c>
    </row>
    <row r="24" spans="1:6" ht="51.75" customHeight="1" x14ac:dyDescent="0.25">
      <c r="A24" s="5" t="s">
        <v>98</v>
      </c>
      <c r="B24" s="38">
        <f>15046000</f>
        <v>15046000</v>
      </c>
      <c r="C24" s="38">
        <f>B24*0.1</f>
        <v>1504600</v>
      </c>
      <c r="D24" s="86">
        <f t="shared" si="2"/>
        <v>1.0066436069500291E-2</v>
      </c>
      <c r="E24" s="86">
        <f t="shared" si="3"/>
        <v>2.3151254039082934E-2</v>
      </c>
      <c r="F24" s="31" t="s">
        <v>100</v>
      </c>
    </row>
    <row r="25" spans="1:6" x14ac:dyDescent="0.25">
      <c r="A25" s="5"/>
      <c r="B25" s="25"/>
      <c r="C25" s="25"/>
      <c r="D25" s="85"/>
      <c r="E25" s="85"/>
      <c r="F25" s="31"/>
    </row>
    <row r="26" spans="1:6" x14ac:dyDescent="0.25">
      <c r="A26" s="5"/>
      <c r="B26" s="25"/>
      <c r="C26" s="25"/>
      <c r="D26" s="85"/>
      <c r="E26" s="85"/>
      <c r="F26" s="31"/>
    </row>
    <row r="27" spans="1:6" x14ac:dyDescent="0.25">
      <c r="A27" s="5"/>
      <c r="B27" s="25"/>
      <c r="C27" s="25"/>
      <c r="D27" s="85"/>
      <c r="E27" s="85"/>
      <c r="F27" s="31"/>
    </row>
    <row r="29" spans="1:6" hidden="1" x14ac:dyDescent="0.25">
      <c r="A29" s="4" t="s">
        <v>93</v>
      </c>
      <c r="B29" s="35">
        <v>1494670000</v>
      </c>
      <c r="C29" s="35">
        <v>64990000</v>
      </c>
    </row>
  </sheetData>
  <mergeCells count="1">
    <mergeCell ref="A5:F5"/>
  </mergeCells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1" sqref="H1"/>
    </sheetView>
  </sheetViews>
  <sheetFormatPr defaultColWidth="8.85546875" defaultRowHeight="15" x14ac:dyDescent="0.25"/>
  <cols>
    <col min="1" max="1" width="33.42578125" style="4" customWidth="1"/>
    <col min="2" max="2" width="14.85546875" style="4" customWidth="1"/>
    <col min="3" max="3" width="11.7109375" style="4" customWidth="1"/>
    <col min="4" max="4" width="13.140625" style="4" customWidth="1"/>
    <col min="5" max="6" width="16.28515625" style="4" customWidth="1"/>
    <col min="7" max="7" width="56.42578125" style="4" customWidth="1"/>
    <col min="8" max="16384" width="8.85546875" style="4"/>
  </cols>
  <sheetData>
    <row r="1" spans="1:7" ht="18.75" x14ac:dyDescent="0.25">
      <c r="A1" s="34" t="str">
        <f>Concepts!A1</f>
        <v>ngVLA Concepts &amp; Options</v>
      </c>
      <c r="B1" s="34"/>
      <c r="C1" s="34"/>
      <c r="D1" s="34"/>
    </row>
    <row r="2" spans="1:7" ht="18.75" x14ac:dyDescent="0.25">
      <c r="A2" s="34" t="s">
        <v>125</v>
      </c>
      <c r="B2" s="34"/>
      <c r="C2" s="34"/>
      <c r="D2" s="34"/>
    </row>
    <row r="3" spans="1:7" ht="18.75" x14ac:dyDescent="0.25">
      <c r="A3" s="34" t="str">
        <f>Concepts!A3</f>
        <v>2017-06-28 V2.9</v>
      </c>
      <c r="B3" s="34"/>
      <c r="C3" s="34"/>
      <c r="D3" s="34"/>
    </row>
    <row r="5" spans="1:7" x14ac:dyDescent="0.25">
      <c r="A5" s="128" t="s">
        <v>134</v>
      </c>
      <c r="B5" s="129"/>
      <c r="C5" s="129"/>
      <c r="D5" s="129"/>
      <c r="E5" s="129"/>
      <c r="F5" s="129"/>
      <c r="G5" s="130"/>
    </row>
    <row r="6" spans="1:7" s="3" customFormat="1" ht="30" x14ac:dyDescent="0.25">
      <c r="A6" s="5" t="s">
        <v>51</v>
      </c>
      <c r="B6" s="5" t="s">
        <v>124</v>
      </c>
      <c r="C6" s="5" t="s">
        <v>127</v>
      </c>
      <c r="D6" s="5" t="s">
        <v>128</v>
      </c>
      <c r="E6" s="5" t="s">
        <v>129</v>
      </c>
      <c r="F6" s="5" t="s">
        <v>130</v>
      </c>
      <c r="G6" s="5" t="s">
        <v>9</v>
      </c>
    </row>
    <row r="7" spans="1:7" s="3" customFormat="1" x14ac:dyDescent="0.25">
      <c r="A7" s="40" t="s">
        <v>126</v>
      </c>
      <c r="B7" s="40"/>
      <c r="C7" s="61">
        <f>Concepts!B6</f>
        <v>1495</v>
      </c>
      <c r="D7" s="61">
        <f>Concepts!B7</f>
        <v>65</v>
      </c>
      <c r="E7" s="63">
        <f>C7</f>
        <v>1495</v>
      </c>
      <c r="F7" s="63">
        <f>D7</f>
        <v>65</v>
      </c>
      <c r="G7" s="40"/>
    </row>
    <row r="8" spans="1:7" s="3" customFormat="1" x14ac:dyDescent="0.25">
      <c r="A8" s="58" t="s">
        <v>161</v>
      </c>
      <c r="B8" s="41">
        <v>0</v>
      </c>
      <c r="C8" s="60">
        <f>Options!B8/10^6</f>
        <v>56.93</v>
      </c>
      <c r="D8" s="60">
        <f>Options!C8/10^6</f>
        <v>12.78</v>
      </c>
      <c r="E8" s="64">
        <f t="shared" ref="E8:E9" si="0">B8*C8</f>
        <v>0</v>
      </c>
      <c r="F8" s="64">
        <f t="shared" ref="F8:F9" si="1">B8*D8</f>
        <v>0</v>
      </c>
      <c r="G8" s="58" t="s">
        <v>163</v>
      </c>
    </row>
    <row r="9" spans="1:7" s="3" customFormat="1" x14ac:dyDescent="0.25">
      <c r="A9" s="58" t="s">
        <v>162</v>
      </c>
      <c r="B9" s="41">
        <v>0</v>
      </c>
      <c r="C9" s="60">
        <f>Options!B9/10^6</f>
        <v>-13.16</v>
      </c>
      <c r="D9" s="60">
        <f>Options!C9/10^6</f>
        <v>-8.2899999999999991</v>
      </c>
      <c r="E9" s="64">
        <f t="shared" si="0"/>
        <v>0</v>
      </c>
      <c r="F9" s="64">
        <f t="shared" si="1"/>
        <v>0</v>
      </c>
      <c r="G9" s="58" t="s">
        <v>163</v>
      </c>
    </row>
    <row r="10" spans="1:7" s="3" customFormat="1" ht="30" x14ac:dyDescent="0.25">
      <c r="A10" s="58" t="str">
        <f>Options!A10</f>
        <v>"VLA" of Effective Collecting Area</v>
      </c>
      <c r="B10" s="41">
        <v>-1.02</v>
      </c>
      <c r="C10" s="60">
        <f>Options!B10/10^6</f>
        <v>171.59</v>
      </c>
      <c r="D10" s="60">
        <f>Options!C10/10^6</f>
        <v>6.61</v>
      </c>
      <c r="E10" s="64">
        <f t="shared" ref="E10:E17" si="2">B10*C10</f>
        <v>-175.02180000000001</v>
      </c>
      <c r="F10" s="64">
        <f t="shared" ref="F10:F17" si="3">B10*D10</f>
        <v>-6.7422000000000004</v>
      </c>
      <c r="G10" s="58" t="str">
        <f>Options!F10</f>
        <v xml:space="preserve">A "VLA" worth of effective collecting area at 30 GHz. Equiv. to 28 18m ngVLA dishes. </v>
      </c>
    </row>
    <row r="11" spans="1:7" ht="30" x14ac:dyDescent="0.25">
      <c r="A11" s="58" t="str">
        <f>Options!A11</f>
        <v>Reconfigurability</v>
      </c>
      <c r="B11" s="42">
        <v>1</v>
      </c>
      <c r="C11" s="60">
        <f>Options!B11/10^6</f>
        <v>178.5</v>
      </c>
      <c r="D11" s="60">
        <f>Options!C11/10^6</f>
        <v>6.64</v>
      </c>
      <c r="E11" s="64">
        <f t="shared" si="2"/>
        <v>178.5</v>
      </c>
      <c r="F11" s="64">
        <f t="shared" si="3"/>
        <v>6.64</v>
      </c>
      <c r="G11" s="58" t="str">
        <f>Options!F11</f>
        <v>Reconfigurability up to 30km roughly along existing VLA arms. ~4 configurations. One reconfiguration per year.</v>
      </c>
    </row>
    <row r="12" spans="1:7" ht="60" x14ac:dyDescent="0.25">
      <c r="A12" s="58" t="str">
        <f>Options!A12</f>
        <v>1000km Baselines</v>
      </c>
      <c r="B12" s="42">
        <v>0</v>
      </c>
      <c r="C12" s="60">
        <f>Options!B12/10^6</f>
        <v>61.1</v>
      </c>
      <c r="D12" s="60">
        <f>Options!C12/10^6</f>
        <v>7.0000000000000007E-2</v>
      </c>
      <c r="E12" s="64">
        <f t="shared" si="2"/>
        <v>0</v>
      </c>
      <c r="F12" s="64">
        <f t="shared" si="3"/>
        <v>0</v>
      </c>
      <c r="G12" s="58" t="str">
        <f>Options!F12</f>
        <v>NOT increasing total collecting area, just reallocation of existing collecting area out to 1000km limit. Added 12 long-baseline stations. Strong dependence on LO and DTS concepts in practice.</v>
      </c>
    </row>
    <row r="13" spans="1:7" ht="30" x14ac:dyDescent="0.25">
      <c r="A13" s="58" t="str">
        <f>Options!A13</f>
        <v>Full-band, full-beam Imaging at 1.2GHz</v>
      </c>
      <c r="B13" s="42">
        <v>0</v>
      </c>
      <c r="C13" s="60">
        <f>Options!B13/10^6</f>
        <v>81.19</v>
      </c>
      <c r="D13" s="60">
        <f>Options!C13/10^6</f>
        <v>13.86</v>
      </c>
      <c r="E13" s="64">
        <f t="shared" si="2"/>
        <v>0</v>
      </c>
      <c r="F13" s="64">
        <f t="shared" si="3"/>
        <v>0</v>
      </c>
      <c r="G13" s="58" t="str">
        <f>Options!F13</f>
        <v xml:space="preserve">Computing and Software system become significantly more complex. </v>
      </c>
    </row>
    <row r="14" spans="1:7" ht="45" x14ac:dyDescent="0.25">
      <c r="A14" s="58" t="str">
        <f>Options!A14</f>
        <v>Circular Polarization Front End</v>
      </c>
      <c r="B14" s="42">
        <v>0</v>
      </c>
      <c r="C14" s="60">
        <f>Options!B14/10^6</f>
        <v>128.69</v>
      </c>
      <c r="D14" s="60">
        <f>Options!C14/10^6</f>
        <v>4.96</v>
      </c>
      <c r="E14" s="64">
        <f t="shared" si="2"/>
        <v>0</v>
      </c>
      <c r="F14" s="64">
        <f t="shared" si="3"/>
        <v>0</v>
      </c>
      <c r="G14" s="58" t="str">
        <f>Options!F14</f>
        <v xml:space="preserve">To match sensitivity of linearly polarized system at 30GHz (~3K penalty.) Circular pol expected to offer better pol. calibration. </v>
      </c>
    </row>
    <row r="15" spans="1:7" ht="30" x14ac:dyDescent="0.25">
      <c r="A15" s="58" t="str">
        <f>Options!A17</f>
        <v>Defer 1.2 GHz - 3.6 GHz Low-Frequency Coverage</v>
      </c>
      <c r="B15" s="42">
        <v>0</v>
      </c>
      <c r="C15" s="60">
        <f>Options!B17/10^6</f>
        <v>-33.595000000000027</v>
      </c>
      <c r="D15" s="60">
        <f>Options!C17/10^6</f>
        <v>-4.8599999999999959</v>
      </c>
      <c r="E15" s="64">
        <f t="shared" si="2"/>
        <v>0</v>
      </c>
      <c r="F15" s="64">
        <f t="shared" si="3"/>
        <v>0</v>
      </c>
      <c r="G15" s="58" t="str">
        <f>Options!F17</f>
        <v xml:space="preserve">Defer 1.2GHz to 3.6 GHz receiver in 6-band configuration. </v>
      </c>
    </row>
    <row r="16" spans="1:7" ht="30" x14ac:dyDescent="0.25">
      <c r="A16" s="58" t="str">
        <f>Options!A18</f>
        <v>Defer 3.6 GHz - 10.8 GHz Low-Frequency Coverage</v>
      </c>
      <c r="B16" s="42">
        <v>0</v>
      </c>
      <c r="C16" s="60">
        <f>Options!B18/10^6</f>
        <v>-33.595000000000027</v>
      </c>
      <c r="D16" s="60">
        <f>Options!C18/10^6</f>
        <v>-4.8599999999999959</v>
      </c>
      <c r="E16" s="64">
        <f t="shared" si="2"/>
        <v>0</v>
      </c>
      <c r="F16" s="64">
        <f t="shared" si="3"/>
        <v>0</v>
      </c>
      <c r="G16" s="58" t="str">
        <f>Options!F18</f>
        <v xml:space="preserve">Defer 3.6GHz to 10.8 GHz receiver in 6-band configuration. </v>
      </c>
    </row>
    <row r="17" spans="1:7" ht="45" x14ac:dyDescent="0.25">
      <c r="A17" s="58" t="str">
        <f>Options!A19</f>
        <v>Future multi-pixel (Parabolic reflectors, no shaping)</v>
      </c>
      <c r="B17" s="42">
        <v>0</v>
      </c>
      <c r="C17" s="60">
        <f>Options!B19/10^6</f>
        <v>134.69999999999999</v>
      </c>
      <c r="D17" s="60">
        <f>Options!C19/10^6</f>
        <v>5.19</v>
      </c>
      <c r="E17" s="64">
        <f t="shared" si="2"/>
        <v>0</v>
      </c>
      <c r="F17" s="64">
        <f t="shared" si="3"/>
        <v>0</v>
      </c>
      <c r="G17" s="58" t="str">
        <f>Options!F19</f>
        <v xml:space="preserve">Shaped optics vs. parabolic, keeping effective area (and sensitivity) constant. Assumes 10% efficiency improvement with shaping. Gains (and cost delta) may be larger. </v>
      </c>
    </row>
    <row r="18" spans="1:7" ht="105" x14ac:dyDescent="0.25">
      <c r="A18" s="58" t="str">
        <f>Options!A20</f>
        <v>50GHz Upper Frequency Limit</v>
      </c>
      <c r="B18" s="42">
        <v>0</v>
      </c>
      <c r="C18" s="60">
        <f>Options!B20/10^6</f>
        <v>-162.12</v>
      </c>
      <c r="D18" s="60">
        <f>Options!C20/10^6</f>
        <v>0.37</v>
      </c>
      <c r="E18" s="64">
        <f t="shared" ref="E18" si="4">B18*C18</f>
        <v>0</v>
      </c>
      <c r="F18" s="64">
        <f t="shared" ref="F18" si="5">B18*D18</f>
        <v>0</v>
      </c>
      <c r="G18" s="58" t="str">
        <f>Options!F20</f>
        <v>Includes relaxed antenna surface roughness (300um) and pointing specs. Cannot be added back at a later date. Held effective area (&amp; sensitivity) constant at 30 GHz, so ops cost rises (more antennas needed to offset surface efficiency loss). Sensitivity at 2 GHz improved ~10%. If just interested in deferring the W-band receiver, cost delta is comparable to deferring one of the low frequency receivers above.</v>
      </c>
    </row>
    <row r="19" spans="1:7" ht="45" x14ac:dyDescent="0.25">
      <c r="A19" s="58" t="str">
        <f>Options!A21</f>
        <v>W-band 7-pixel FPA</v>
      </c>
      <c r="B19" s="42">
        <v>0</v>
      </c>
      <c r="C19" s="60">
        <f>Options!B21/10^6</f>
        <v>283.92599999999999</v>
      </c>
      <c r="D19" s="60">
        <f>Options!C21/10^6</f>
        <v>22.714079999999999</v>
      </c>
      <c r="E19" s="64">
        <f t="shared" ref="E19:E22" si="6">B19*C19</f>
        <v>0</v>
      </c>
      <c r="F19" s="64">
        <f t="shared" ref="F19:F22" si="7">B19*D19</f>
        <v>0</v>
      </c>
      <c r="G19" s="58" t="str">
        <f>Options!F21</f>
        <v xml:space="preserve">For antennas in core only. 20GHz BW per pixel. </v>
      </c>
    </row>
    <row r="20" spans="1:7" ht="60" x14ac:dyDescent="0.25">
      <c r="A20" s="58" t="str">
        <f>Options!A22</f>
        <v>10GHz of Instantaneous BW per Polarization.</v>
      </c>
      <c r="B20" s="42">
        <v>0</v>
      </c>
      <c r="C20" s="60">
        <f>Options!B22/10^6</f>
        <v>41.56</v>
      </c>
      <c r="D20" s="60">
        <f>Options!C22/10^6</f>
        <v>0.79100000000000004</v>
      </c>
      <c r="E20" s="64">
        <f t="shared" si="6"/>
        <v>0</v>
      </c>
      <c r="F20" s="64">
        <f t="shared" si="7"/>
        <v>0</v>
      </c>
      <c r="G20" s="58" t="str">
        <f>Options!F22</f>
        <v xml:space="preserve">When available from the front end. Note - the model discounts digital equipment rather significantly. If performance per $ does not continue to improve at current rates, it will underestimate digital system costs. </v>
      </c>
    </row>
    <row r="21" spans="1:7" ht="30" x14ac:dyDescent="0.25">
      <c r="A21" s="58" t="str">
        <f>Options!A23</f>
        <v>"Zero Spacing" Single Dish</v>
      </c>
      <c r="B21" s="42">
        <v>0</v>
      </c>
      <c r="C21" s="60">
        <f>Options!B23/10^6</f>
        <v>117</v>
      </c>
      <c r="D21" s="60">
        <f>Options!C23/10^6</f>
        <v>5.85</v>
      </c>
      <c r="E21" s="64">
        <f t="shared" si="6"/>
        <v>0</v>
      </c>
      <c r="F21" s="64">
        <f t="shared" si="7"/>
        <v>0</v>
      </c>
      <c r="G21" s="58" t="str">
        <f>Options!F23</f>
        <v xml:space="preserve">Single dish, 45m Diameter, with 20 pixel FPAs or equivalent, consistent with ngVLA memo #14. </v>
      </c>
    </row>
    <row r="22" spans="1:7" ht="60" x14ac:dyDescent="0.25">
      <c r="A22" s="58" t="str">
        <f>Options!A24</f>
        <v>Autocorrelation Total Power</v>
      </c>
      <c r="B22" s="42">
        <v>0</v>
      </c>
      <c r="C22" s="60">
        <f>Options!B24/10^6</f>
        <v>15.045999999999999</v>
      </c>
      <c r="D22" s="60">
        <f>Options!C24/10^6</f>
        <v>1.5045999999999999</v>
      </c>
      <c r="E22" s="64">
        <f t="shared" si="6"/>
        <v>0</v>
      </c>
      <c r="F22" s="64">
        <f t="shared" si="7"/>
        <v>0</v>
      </c>
      <c r="G22" s="58" t="str">
        <f>Options!F24</f>
        <v xml:space="preserve">For 10% of the array collecting area. Includes cost of flux+gain cal system, but no changes to antenna mount. May have technical difficulties/ramifications not considered here. </v>
      </c>
    </row>
    <row r="23" spans="1:7" x14ac:dyDescent="0.25">
      <c r="A23" s="58"/>
      <c r="B23" s="42"/>
      <c r="C23" s="59"/>
      <c r="D23" s="59"/>
      <c r="E23" s="64">
        <f>B23*C23</f>
        <v>0</v>
      </c>
      <c r="F23" s="64">
        <f>B23*D23</f>
        <v>0</v>
      </c>
      <c r="G23" s="58"/>
    </row>
    <row r="24" spans="1:7" ht="15.75" thickBot="1" x14ac:dyDescent="0.3">
      <c r="A24" s="55"/>
      <c r="B24" s="57"/>
      <c r="C24" s="56"/>
      <c r="D24" s="56"/>
      <c r="E24" s="65">
        <f>B24*C24</f>
        <v>0</v>
      </c>
      <c r="F24" s="65">
        <f>B24*D24</f>
        <v>0</v>
      </c>
      <c r="G24" s="55"/>
    </row>
    <row r="25" spans="1:7" ht="29.25" customHeight="1" thickTop="1" x14ac:dyDescent="0.25">
      <c r="A25" s="54" t="s">
        <v>123</v>
      </c>
      <c r="B25" s="53"/>
      <c r="C25" s="53"/>
      <c r="D25" s="52"/>
      <c r="E25" s="62">
        <f>SUM(E7:E24)</f>
        <v>1498.4782</v>
      </c>
      <c r="F25" s="62">
        <f>SUM(F7:F24)</f>
        <v>64.897800000000004</v>
      </c>
      <c r="G25" s="51" t="s">
        <v>131</v>
      </c>
    </row>
  </sheetData>
  <mergeCells count="1">
    <mergeCell ref="A5:G5"/>
  </mergeCells>
  <conditionalFormatting sqref="E25">
    <cfRule type="iconSet" priority="2">
      <iconSet iconSet="3Symbols2" reverse="1">
        <cfvo type="percent" val="0"/>
        <cfvo type="num" val="1500"/>
        <cfvo type="num" val="1550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27385FC-7DA2-4C3C-9946-CEC0A8F76CA6}">
            <x14:iconSet custom="1">
              <x14:cfvo type="percent">
                <xm:f>0</xm:f>
              </x14:cfvo>
              <x14:cfvo type="num">
                <xm:f>75</xm:f>
              </x14:cfvo>
              <x14:cfvo type="num">
                <xm:f>80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F25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98" zoomScaleNormal="98" zoomScalePageLayoutView="98" workbookViewId="0">
      <selection activeCell="A3" sqref="A3"/>
    </sheetView>
  </sheetViews>
  <sheetFormatPr defaultColWidth="8.85546875" defaultRowHeight="15" x14ac:dyDescent="0.25"/>
  <cols>
    <col min="1" max="1" width="12.7109375" customWidth="1"/>
    <col min="2" max="2" width="49.7109375" customWidth="1"/>
    <col min="3" max="13" width="12.140625" customWidth="1"/>
    <col min="14" max="14" width="14.42578125" customWidth="1"/>
    <col min="15" max="15" width="34.85546875" customWidth="1"/>
    <col min="16" max="16" width="4.42578125" customWidth="1"/>
    <col min="17" max="17" width="4.85546875" customWidth="1"/>
    <col min="18" max="19" width="13.28515625" customWidth="1"/>
  </cols>
  <sheetData>
    <row r="1" spans="1:19" ht="18.75" x14ac:dyDescent="0.3">
      <c r="A1" s="18" t="str">
        <f>Concepts!A1</f>
        <v>ngVLA Concepts &amp; Options</v>
      </c>
    </row>
    <row r="2" spans="1:19" ht="18.75" x14ac:dyDescent="0.3">
      <c r="A2" s="18" t="s">
        <v>54</v>
      </c>
    </row>
    <row r="3" spans="1:19" ht="18.75" x14ac:dyDescent="0.3">
      <c r="A3" s="18" t="str">
        <f>Concepts!A3</f>
        <v>2017-06-28 V2.9</v>
      </c>
    </row>
    <row r="5" spans="1:19" s="2" customFormat="1" ht="65.25" customHeight="1" x14ac:dyDescent="0.25">
      <c r="B5" s="88" t="s">
        <v>12</v>
      </c>
      <c r="C5" s="89" t="s">
        <v>170</v>
      </c>
      <c r="D5" s="89" t="s">
        <v>171</v>
      </c>
      <c r="E5" s="89" t="s">
        <v>185</v>
      </c>
      <c r="F5" s="89" t="s">
        <v>172</v>
      </c>
      <c r="G5" s="89" t="s">
        <v>173</v>
      </c>
      <c r="H5" s="89" t="s">
        <v>174</v>
      </c>
      <c r="I5" s="89" t="s">
        <v>175</v>
      </c>
      <c r="J5" s="93" t="s">
        <v>176</v>
      </c>
      <c r="K5" s="99" t="s">
        <v>166</v>
      </c>
      <c r="L5" s="100" t="s">
        <v>186</v>
      </c>
      <c r="M5" s="101" t="s">
        <v>177</v>
      </c>
      <c r="N5" s="101" t="s">
        <v>178</v>
      </c>
      <c r="O5" s="90" t="s">
        <v>80</v>
      </c>
      <c r="P5" s="3"/>
      <c r="Q5" s="91" t="s">
        <v>7</v>
      </c>
      <c r="R5" s="92"/>
      <c r="S5" s="6"/>
    </row>
    <row r="6" spans="1:19" s="2" customFormat="1" ht="15" customHeight="1" x14ac:dyDescent="0.25">
      <c r="A6" s="15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96"/>
      <c r="L6" s="14"/>
      <c r="M6" s="33"/>
      <c r="N6" s="33"/>
      <c r="O6" s="33"/>
      <c r="Q6" s="19"/>
      <c r="R6" s="19" t="s">
        <v>46</v>
      </c>
      <c r="S6" s="19" t="s">
        <v>47</v>
      </c>
    </row>
    <row r="7" spans="1:19" x14ac:dyDescent="0.25">
      <c r="A7" s="7" t="s">
        <v>58</v>
      </c>
      <c r="B7" s="27" t="s">
        <v>60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6</v>
      </c>
      <c r="J7" s="94">
        <v>4</v>
      </c>
      <c r="K7" s="97">
        <v>1</v>
      </c>
      <c r="L7" s="94">
        <v>0</v>
      </c>
      <c r="M7" s="11">
        <v>0</v>
      </c>
      <c r="N7" s="11">
        <v>0</v>
      </c>
      <c r="O7" s="11"/>
      <c r="Q7" s="22">
        <v>0</v>
      </c>
      <c r="R7" s="20" t="s">
        <v>44</v>
      </c>
      <c r="S7" s="21" t="s">
        <v>48</v>
      </c>
    </row>
    <row r="8" spans="1:19" x14ac:dyDescent="0.25">
      <c r="A8" s="9" t="s">
        <v>59</v>
      </c>
      <c r="B8" s="27" t="s">
        <v>79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94">
        <v>6</v>
      </c>
      <c r="K8" s="97">
        <v>0</v>
      </c>
      <c r="L8" s="94">
        <v>0</v>
      </c>
      <c r="M8" s="11">
        <v>0</v>
      </c>
      <c r="N8" s="11">
        <v>0</v>
      </c>
      <c r="O8" s="11"/>
      <c r="Q8" s="23">
        <v>1</v>
      </c>
      <c r="R8" s="21"/>
      <c r="S8" s="21"/>
    </row>
    <row r="9" spans="1:19" x14ac:dyDescent="0.25">
      <c r="A9" s="9" t="s">
        <v>89</v>
      </c>
      <c r="B9" s="27" t="s">
        <v>84</v>
      </c>
      <c r="C9" s="11">
        <v>5</v>
      </c>
      <c r="D9" s="11">
        <v>5</v>
      </c>
      <c r="E9" s="11">
        <v>4</v>
      </c>
      <c r="F9" s="11">
        <v>4</v>
      </c>
      <c r="G9" s="11">
        <v>4</v>
      </c>
      <c r="H9" s="11">
        <v>4</v>
      </c>
      <c r="I9" s="11">
        <v>6</v>
      </c>
      <c r="J9" s="94">
        <v>6</v>
      </c>
      <c r="K9" s="97">
        <v>6</v>
      </c>
      <c r="L9" s="94">
        <v>6</v>
      </c>
      <c r="M9" s="11">
        <v>5</v>
      </c>
      <c r="N9" s="11">
        <v>5</v>
      </c>
      <c r="O9" s="11"/>
      <c r="Q9" s="23">
        <v>2</v>
      </c>
      <c r="R9" s="21"/>
      <c r="S9" s="21"/>
    </row>
    <row r="10" spans="1:19" x14ac:dyDescent="0.25">
      <c r="A10" s="9"/>
      <c r="B10" s="27" t="s">
        <v>153</v>
      </c>
      <c r="C10" s="11">
        <v>4</v>
      </c>
      <c r="D10" s="11">
        <v>4</v>
      </c>
      <c r="E10" s="11">
        <v>0</v>
      </c>
      <c r="F10" s="11">
        <v>0</v>
      </c>
      <c r="G10" s="11">
        <v>3</v>
      </c>
      <c r="H10" s="11">
        <v>3</v>
      </c>
      <c r="I10" s="11">
        <v>5</v>
      </c>
      <c r="J10" s="94">
        <v>2</v>
      </c>
      <c r="K10" s="97">
        <v>5</v>
      </c>
      <c r="L10" s="94">
        <v>6</v>
      </c>
      <c r="M10" s="11">
        <v>4</v>
      </c>
      <c r="N10" s="11">
        <v>4</v>
      </c>
      <c r="O10" s="11"/>
      <c r="Q10" s="23">
        <v>3</v>
      </c>
      <c r="R10" s="21" t="s">
        <v>8</v>
      </c>
      <c r="S10" s="21" t="s">
        <v>49</v>
      </c>
    </row>
    <row r="11" spans="1:19" x14ac:dyDescent="0.25">
      <c r="A11" s="9"/>
      <c r="B11" s="27" t="s">
        <v>152</v>
      </c>
      <c r="C11" s="11">
        <v>2</v>
      </c>
      <c r="D11" s="11">
        <v>2</v>
      </c>
      <c r="E11" s="11">
        <v>0</v>
      </c>
      <c r="F11" s="11">
        <v>0</v>
      </c>
      <c r="G11" s="11">
        <v>3</v>
      </c>
      <c r="H11" s="11">
        <v>3</v>
      </c>
      <c r="I11" s="11">
        <v>5</v>
      </c>
      <c r="J11" s="94">
        <v>2</v>
      </c>
      <c r="K11" s="97">
        <v>5</v>
      </c>
      <c r="L11" s="94">
        <v>4</v>
      </c>
      <c r="M11" s="11">
        <v>4</v>
      </c>
      <c r="N11" s="11">
        <v>2</v>
      </c>
      <c r="O11" s="11"/>
      <c r="Q11" s="23">
        <v>4</v>
      </c>
      <c r="R11" s="21"/>
      <c r="S11" s="21"/>
    </row>
    <row r="12" spans="1:19" x14ac:dyDescent="0.25">
      <c r="A12" s="9"/>
      <c r="B12" s="27" t="s">
        <v>87</v>
      </c>
      <c r="C12" s="11">
        <v>0</v>
      </c>
      <c r="D12" s="11">
        <v>0</v>
      </c>
      <c r="E12" s="11">
        <v>0</v>
      </c>
      <c r="F12" s="11">
        <v>0</v>
      </c>
      <c r="G12" s="11">
        <v>3</v>
      </c>
      <c r="H12" s="11">
        <v>3</v>
      </c>
      <c r="I12" s="11">
        <v>0</v>
      </c>
      <c r="J12" s="94">
        <v>0</v>
      </c>
      <c r="K12" s="97">
        <v>0</v>
      </c>
      <c r="L12" s="94">
        <v>3</v>
      </c>
      <c r="M12" s="11">
        <v>3</v>
      </c>
      <c r="N12" s="11">
        <v>0</v>
      </c>
      <c r="O12" s="11"/>
      <c r="Q12" s="23">
        <v>5</v>
      </c>
      <c r="R12" s="21"/>
      <c r="S12" s="21"/>
    </row>
    <row r="13" spans="1:19" x14ac:dyDescent="0.25">
      <c r="A13" s="9"/>
      <c r="B13" s="8" t="s">
        <v>88</v>
      </c>
      <c r="C13" s="11">
        <v>0</v>
      </c>
      <c r="D13" s="11">
        <v>0</v>
      </c>
      <c r="E13" s="11">
        <v>0</v>
      </c>
      <c r="F13" s="11">
        <v>0</v>
      </c>
      <c r="G13" s="11">
        <v>5</v>
      </c>
      <c r="H13" s="11">
        <v>5</v>
      </c>
      <c r="I13" s="11">
        <v>0</v>
      </c>
      <c r="J13" s="94">
        <v>0</v>
      </c>
      <c r="K13" s="97">
        <v>0</v>
      </c>
      <c r="L13" s="94">
        <v>5</v>
      </c>
      <c r="M13" s="11">
        <v>5</v>
      </c>
      <c r="N13" s="11">
        <v>0</v>
      </c>
      <c r="O13" s="11"/>
      <c r="Q13" s="23">
        <v>6</v>
      </c>
      <c r="R13" s="21" t="s">
        <v>45</v>
      </c>
      <c r="S13" s="21" t="s">
        <v>50</v>
      </c>
    </row>
    <row r="14" spans="1:19" x14ac:dyDescent="0.25">
      <c r="A14" s="9"/>
      <c r="B14" s="8" t="s">
        <v>90</v>
      </c>
      <c r="C14" s="11">
        <v>0</v>
      </c>
      <c r="D14" s="11">
        <v>0</v>
      </c>
      <c r="E14" s="11">
        <v>0</v>
      </c>
      <c r="F14" s="11">
        <v>0</v>
      </c>
      <c r="G14" s="11">
        <v>2</v>
      </c>
      <c r="H14" s="11">
        <v>5</v>
      </c>
      <c r="I14" s="11">
        <v>2</v>
      </c>
      <c r="J14" s="94">
        <v>0</v>
      </c>
      <c r="K14" s="97">
        <v>0</v>
      </c>
      <c r="L14" s="94">
        <v>4</v>
      </c>
      <c r="M14" s="11">
        <v>5</v>
      </c>
      <c r="N14" s="11">
        <v>0</v>
      </c>
      <c r="O14" s="11"/>
    </row>
    <row r="15" spans="1:19" x14ac:dyDescent="0.25">
      <c r="A15" s="9"/>
      <c r="B15" s="8" t="s">
        <v>3</v>
      </c>
      <c r="C15" s="11">
        <v>2</v>
      </c>
      <c r="D15" s="11">
        <v>2</v>
      </c>
      <c r="E15" s="11">
        <v>4</v>
      </c>
      <c r="F15" s="11">
        <v>4</v>
      </c>
      <c r="G15" s="11">
        <v>5</v>
      </c>
      <c r="H15" s="11">
        <v>5</v>
      </c>
      <c r="I15" s="11">
        <v>0</v>
      </c>
      <c r="J15" s="94">
        <v>0</v>
      </c>
      <c r="K15" s="97">
        <v>0</v>
      </c>
      <c r="L15" s="94">
        <v>4</v>
      </c>
      <c r="M15" s="11">
        <v>4</v>
      </c>
      <c r="N15" s="11">
        <v>4</v>
      </c>
      <c r="O15" s="11"/>
    </row>
    <row r="16" spans="1:19" x14ac:dyDescent="0.25">
      <c r="A16" s="9"/>
      <c r="B16" s="8" t="s">
        <v>82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4</v>
      </c>
      <c r="J16" s="94">
        <v>3</v>
      </c>
      <c r="K16" s="97">
        <v>4</v>
      </c>
      <c r="L16" s="94">
        <v>0</v>
      </c>
      <c r="M16" s="11">
        <v>0</v>
      </c>
      <c r="N16" s="11">
        <v>0</v>
      </c>
      <c r="O16" s="11"/>
    </row>
    <row r="17" spans="1:15" x14ac:dyDescent="0.25">
      <c r="A17" s="9"/>
      <c r="B17" s="8" t="s">
        <v>151</v>
      </c>
      <c r="C17" s="11">
        <v>2</v>
      </c>
      <c r="D17" s="11">
        <v>6</v>
      </c>
      <c r="E17" s="11">
        <v>6</v>
      </c>
      <c r="F17" s="11">
        <v>6</v>
      </c>
      <c r="G17" s="11">
        <v>6</v>
      </c>
      <c r="H17" s="11">
        <v>5</v>
      </c>
      <c r="I17" s="11">
        <v>6</v>
      </c>
      <c r="J17" s="94">
        <v>5</v>
      </c>
      <c r="K17" s="97">
        <v>6</v>
      </c>
      <c r="L17" s="94">
        <v>4</v>
      </c>
      <c r="M17" s="11">
        <v>5</v>
      </c>
      <c r="N17" s="11">
        <v>5</v>
      </c>
      <c r="O17" s="11"/>
    </row>
    <row r="18" spans="1:15" x14ac:dyDescent="0.25">
      <c r="A18" s="9"/>
      <c r="B18" s="8" t="s">
        <v>99</v>
      </c>
      <c r="C18" s="11">
        <v>0</v>
      </c>
      <c r="D18" s="11">
        <v>5</v>
      </c>
      <c r="E18" s="11">
        <v>0</v>
      </c>
      <c r="F18" s="11">
        <v>0</v>
      </c>
      <c r="G18" s="11">
        <v>0</v>
      </c>
      <c r="H18" s="11">
        <v>5</v>
      </c>
      <c r="I18" s="11">
        <v>6</v>
      </c>
      <c r="J18" s="94">
        <v>0</v>
      </c>
      <c r="K18" s="97">
        <v>4</v>
      </c>
      <c r="L18" s="94">
        <v>0</v>
      </c>
      <c r="M18" s="11">
        <v>5</v>
      </c>
      <c r="N18" s="11">
        <v>0</v>
      </c>
      <c r="O18" s="11"/>
    </row>
    <row r="19" spans="1:15" x14ac:dyDescent="0.25">
      <c r="A19" s="9"/>
      <c r="B19" s="8" t="s">
        <v>154</v>
      </c>
      <c r="C19" s="11">
        <v>0</v>
      </c>
      <c r="D19" s="11">
        <v>0</v>
      </c>
      <c r="E19" s="11">
        <v>5</v>
      </c>
      <c r="F19" s="11">
        <v>0</v>
      </c>
      <c r="G19" s="11">
        <v>6</v>
      </c>
      <c r="H19" s="11">
        <v>6</v>
      </c>
      <c r="I19" s="11">
        <v>0</v>
      </c>
      <c r="J19" s="94">
        <v>2</v>
      </c>
      <c r="K19" s="97">
        <v>5</v>
      </c>
      <c r="L19" s="94">
        <v>6</v>
      </c>
      <c r="M19" s="11">
        <v>6</v>
      </c>
      <c r="N19" s="11">
        <v>6</v>
      </c>
      <c r="O19" s="11"/>
    </row>
    <row r="20" spans="1:15" x14ac:dyDescent="0.25">
      <c r="A20" s="7" t="s">
        <v>63</v>
      </c>
      <c r="B20" s="8" t="s">
        <v>150</v>
      </c>
      <c r="C20" s="11">
        <v>6</v>
      </c>
      <c r="D20" s="11">
        <v>6</v>
      </c>
      <c r="E20" s="11">
        <v>6</v>
      </c>
      <c r="F20" s="11">
        <v>6</v>
      </c>
      <c r="G20" s="11">
        <v>4</v>
      </c>
      <c r="H20" s="11">
        <v>6</v>
      </c>
      <c r="I20" s="11">
        <v>5</v>
      </c>
      <c r="J20" s="94">
        <v>5</v>
      </c>
      <c r="K20" s="97">
        <v>6</v>
      </c>
      <c r="L20" s="94">
        <v>6</v>
      </c>
      <c r="M20" s="11">
        <v>3</v>
      </c>
      <c r="N20" s="11">
        <v>6</v>
      </c>
      <c r="O20" s="11"/>
    </row>
    <row r="21" spans="1:15" x14ac:dyDescent="0.25">
      <c r="A21" s="9" t="s">
        <v>64</v>
      </c>
      <c r="B21" s="8" t="s">
        <v>149</v>
      </c>
      <c r="C21" s="11">
        <v>6</v>
      </c>
      <c r="D21" s="11">
        <v>6</v>
      </c>
      <c r="E21" s="11">
        <v>5</v>
      </c>
      <c r="F21" s="11">
        <v>6</v>
      </c>
      <c r="G21" s="11">
        <v>5</v>
      </c>
      <c r="H21" s="11">
        <v>6</v>
      </c>
      <c r="I21" s="11">
        <v>0</v>
      </c>
      <c r="J21" s="94">
        <v>0</v>
      </c>
      <c r="K21" s="97">
        <v>0</v>
      </c>
      <c r="L21" s="94">
        <v>6</v>
      </c>
      <c r="M21" s="11">
        <v>4</v>
      </c>
      <c r="N21" s="11">
        <v>6</v>
      </c>
      <c r="O21" s="11"/>
    </row>
    <row r="22" spans="1:15" x14ac:dyDescent="0.25">
      <c r="A22" s="10"/>
      <c r="B22" s="10" t="s">
        <v>148</v>
      </c>
      <c r="C22" s="13">
        <v>1</v>
      </c>
      <c r="D22" s="13">
        <v>1</v>
      </c>
      <c r="E22" s="13">
        <v>6</v>
      </c>
      <c r="F22" s="13">
        <v>0</v>
      </c>
      <c r="G22" s="11">
        <v>5</v>
      </c>
      <c r="H22" s="11">
        <v>6</v>
      </c>
      <c r="I22" s="11">
        <v>0</v>
      </c>
      <c r="J22" s="94">
        <v>2</v>
      </c>
      <c r="K22" s="97">
        <v>6</v>
      </c>
      <c r="L22" s="94">
        <v>6</v>
      </c>
      <c r="M22" s="11">
        <v>5</v>
      </c>
      <c r="N22" s="11">
        <v>5</v>
      </c>
      <c r="O22" s="11"/>
    </row>
    <row r="23" spans="1:15" x14ac:dyDescent="0.25">
      <c r="A23" s="9" t="s">
        <v>57</v>
      </c>
      <c r="B23" s="10" t="s">
        <v>81</v>
      </c>
      <c r="C23" s="13">
        <v>3</v>
      </c>
      <c r="D23" s="13">
        <v>3</v>
      </c>
      <c r="E23" s="13">
        <v>5</v>
      </c>
      <c r="F23" s="13">
        <v>4</v>
      </c>
      <c r="G23" s="11">
        <v>4</v>
      </c>
      <c r="H23" s="11">
        <v>6</v>
      </c>
      <c r="I23" s="11">
        <v>6</v>
      </c>
      <c r="J23" s="94">
        <v>0</v>
      </c>
      <c r="K23" s="97">
        <v>6</v>
      </c>
      <c r="L23" s="94">
        <v>6</v>
      </c>
      <c r="M23" s="11">
        <v>6</v>
      </c>
      <c r="N23" s="11">
        <v>4</v>
      </c>
      <c r="O23" s="11"/>
    </row>
    <row r="24" spans="1:15" x14ac:dyDescent="0.25">
      <c r="A24" s="9"/>
      <c r="B24" s="10" t="s">
        <v>0</v>
      </c>
      <c r="C24" s="13">
        <v>4</v>
      </c>
      <c r="D24" s="13">
        <v>4</v>
      </c>
      <c r="E24" s="13">
        <v>6</v>
      </c>
      <c r="F24" s="13">
        <v>6</v>
      </c>
      <c r="G24" s="11">
        <v>6</v>
      </c>
      <c r="H24" s="11">
        <v>6</v>
      </c>
      <c r="I24" s="11">
        <v>6</v>
      </c>
      <c r="J24" s="94">
        <v>0</v>
      </c>
      <c r="K24" s="97">
        <v>4</v>
      </c>
      <c r="L24" s="94">
        <v>6</v>
      </c>
      <c r="M24" s="11">
        <v>6</v>
      </c>
      <c r="N24" s="11">
        <v>6</v>
      </c>
      <c r="O24" s="11"/>
    </row>
    <row r="25" spans="1:15" x14ac:dyDescent="0.25">
      <c r="A25" s="9"/>
      <c r="B25" s="8" t="s">
        <v>1</v>
      </c>
      <c r="C25" s="11">
        <v>5</v>
      </c>
      <c r="D25" s="11">
        <v>5</v>
      </c>
      <c r="E25" s="11">
        <v>4</v>
      </c>
      <c r="F25" s="11">
        <v>6</v>
      </c>
      <c r="G25" s="11">
        <v>6</v>
      </c>
      <c r="H25" s="11">
        <v>6</v>
      </c>
      <c r="I25" s="11">
        <v>0</v>
      </c>
      <c r="J25" s="94">
        <v>4</v>
      </c>
      <c r="K25" s="97">
        <v>4</v>
      </c>
      <c r="L25" s="94">
        <v>6</v>
      </c>
      <c r="M25" s="11">
        <v>4</v>
      </c>
      <c r="N25" s="11">
        <v>6</v>
      </c>
      <c r="O25" s="11"/>
    </row>
    <row r="26" spans="1:15" x14ac:dyDescent="0.25">
      <c r="A26" s="9"/>
      <c r="B26" s="8" t="s">
        <v>2</v>
      </c>
      <c r="C26" s="11">
        <v>6</v>
      </c>
      <c r="D26" s="11">
        <v>6</v>
      </c>
      <c r="E26" s="11">
        <v>0</v>
      </c>
      <c r="F26" s="11">
        <v>2</v>
      </c>
      <c r="G26" s="11">
        <v>5</v>
      </c>
      <c r="H26" s="11">
        <v>2</v>
      </c>
      <c r="I26" s="11">
        <v>0</v>
      </c>
      <c r="J26" s="94">
        <v>6</v>
      </c>
      <c r="K26" s="97">
        <v>5</v>
      </c>
      <c r="L26" s="94">
        <v>5</v>
      </c>
      <c r="M26" s="11">
        <v>0</v>
      </c>
      <c r="N26" s="11">
        <v>2</v>
      </c>
      <c r="O26" s="11"/>
    </row>
    <row r="27" spans="1:15" x14ac:dyDescent="0.25">
      <c r="A27" s="9"/>
      <c r="B27" s="8" t="s">
        <v>34</v>
      </c>
      <c r="C27" s="11">
        <v>4</v>
      </c>
      <c r="D27" s="11">
        <v>4</v>
      </c>
      <c r="E27" s="11">
        <v>0</v>
      </c>
      <c r="F27" s="11">
        <v>0</v>
      </c>
      <c r="G27" s="11">
        <v>3</v>
      </c>
      <c r="H27" s="11">
        <v>0</v>
      </c>
      <c r="I27" s="11">
        <v>0</v>
      </c>
      <c r="J27" s="94">
        <v>6</v>
      </c>
      <c r="K27" s="97">
        <v>5</v>
      </c>
      <c r="L27" s="94">
        <v>4</v>
      </c>
      <c r="M27" s="11">
        <v>0</v>
      </c>
      <c r="N27" s="11">
        <v>0</v>
      </c>
      <c r="O27" s="11"/>
    </row>
    <row r="28" spans="1:15" x14ac:dyDescent="0.25">
      <c r="A28" s="10"/>
      <c r="B28" s="8" t="s">
        <v>147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94">
        <v>6</v>
      </c>
      <c r="K28" s="97">
        <v>5</v>
      </c>
      <c r="L28" s="94">
        <v>3</v>
      </c>
      <c r="M28" s="11">
        <v>0</v>
      </c>
      <c r="N28" s="11">
        <v>0</v>
      </c>
      <c r="O28" s="11"/>
    </row>
    <row r="29" spans="1:15" x14ac:dyDescent="0.25">
      <c r="A29" s="7" t="s">
        <v>41</v>
      </c>
      <c r="B29" s="27" t="s">
        <v>62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94">
        <v>0</v>
      </c>
      <c r="K29" s="97">
        <v>0</v>
      </c>
      <c r="L29" s="94">
        <v>0</v>
      </c>
      <c r="M29" s="11">
        <v>0</v>
      </c>
      <c r="N29" s="11">
        <v>0</v>
      </c>
      <c r="O29" s="11"/>
    </row>
    <row r="30" spans="1:15" x14ac:dyDescent="0.25">
      <c r="A30" s="9" t="s">
        <v>46</v>
      </c>
      <c r="B30" s="27" t="s">
        <v>167</v>
      </c>
      <c r="C30" s="11">
        <v>2</v>
      </c>
      <c r="D30" s="11">
        <v>2</v>
      </c>
      <c r="E30" s="11">
        <v>0</v>
      </c>
      <c r="F30" s="11">
        <v>0</v>
      </c>
      <c r="G30" s="11">
        <v>0</v>
      </c>
      <c r="H30" s="11">
        <v>2</v>
      </c>
      <c r="I30" s="11">
        <v>4</v>
      </c>
      <c r="J30" s="94">
        <v>0</v>
      </c>
      <c r="K30" s="97">
        <v>6</v>
      </c>
      <c r="L30" s="94">
        <v>4</v>
      </c>
      <c r="M30" s="11">
        <v>4</v>
      </c>
      <c r="N30" s="11">
        <v>2</v>
      </c>
      <c r="O30" s="11"/>
    </row>
    <row r="31" spans="1:15" x14ac:dyDescent="0.25">
      <c r="A31" s="9"/>
      <c r="B31" s="8" t="s">
        <v>35</v>
      </c>
      <c r="C31" s="11">
        <v>2</v>
      </c>
      <c r="D31" s="11">
        <v>2</v>
      </c>
      <c r="E31" s="11">
        <v>0</v>
      </c>
      <c r="F31" s="11">
        <v>0</v>
      </c>
      <c r="G31" s="11">
        <v>6</v>
      </c>
      <c r="H31" s="11">
        <v>3</v>
      </c>
      <c r="I31" s="11">
        <v>6</v>
      </c>
      <c r="J31" s="94">
        <v>4</v>
      </c>
      <c r="K31" s="97">
        <v>6</v>
      </c>
      <c r="L31" s="94">
        <v>5</v>
      </c>
      <c r="M31" s="11">
        <v>4</v>
      </c>
      <c r="N31" s="11">
        <v>5</v>
      </c>
      <c r="O31" s="11"/>
    </row>
    <row r="32" spans="1:15" x14ac:dyDescent="0.25">
      <c r="A32" s="9"/>
      <c r="B32" s="8" t="s">
        <v>36</v>
      </c>
      <c r="C32" s="11">
        <v>4</v>
      </c>
      <c r="D32" s="11">
        <v>4</v>
      </c>
      <c r="E32" s="11">
        <v>3</v>
      </c>
      <c r="F32" s="11">
        <v>3</v>
      </c>
      <c r="G32" s="11">
        <v>0</v>
      </c>
      <c r="H32" s="11">
        <v>6</v>
      </c>
      <c r="I32" s="11">
        <v>6</v>
      </c>
      <c r="J32" s="94">
        <v>6</v>
      </c>
      <c r="K32" s="97">
        <v>6</v>
      </c>
      <c r="L32" s="94">
        <v>5</v>
      </c>
      <c r="M32" s="11">
        <v>4</v>
      </c>
      <c r="N32" s="11">
        <v>6</v>
      </c>
      <c r="O32" s="11"/>
    </row>
    <row r="33" spans="1:15" x14ac:dyDescent="0.25">
      <c r="A33" s="9"/>
      <c r="B33" s="8" t="s">
        <v>37</v>
      </c>
      <c r="C33" s="11">
        <v>6</v>
      </c>
      <c r="D33" s="11">
        <v>6</v>
      </c>
      <c r="E33" s="11">
        <v>6</v>
      </c>
      <c r="F33" s="11">
        <v>6</v>
      </c>
      <c r="G33" s="11">
        <v>0</v>
      </c>
      <c r="H33" s="11">
        <v>6</v>
      </c>
      <c r="I33" s="11">
        <v>6</v>
      </c>
      <c r="J33" s="94">
        <v>6</v>
      </c>
      <c r="K33" s="97">
        <v>6</v>
      </c>
      <c r="L33" s="94">
        <v>5</v>
      </c>
      <c r="M33" s="11">
        <v>6</v>
      </c>
      <c r="N33" s="11">
        <v>6</v>
      </c>
      <c r="O33" s="11"/>
    </row>
    <row r="34" spans="1:15" x14ac:dyDescent="0.25">
      <c r="A34" s="9"/>
      <c r="B34" s="8" t="s">
        <v>5</v>
      </c>
      <c r="C34" s="11">
        <v>6</v>
      </c>
      <c r="D34" s="11">
        <v>6</v>
      </c>
      <c r="E34" s="11">
        <v>6</v>
      </c>
      <c r="F34" s="11">
        <v>6</v>
      </c>
      <c r="G34" s="11">
        <v>0</v>
      </c>
      <c r="H34" s="11">
        <v>6</v>
      </c>
      <c r="I34" s="11">
        <v>3</v>
      </c>
      <c r="J34" s="94">
        <v>4</v>
      </c>
      <c r="K34" s="97">
        <v>4</v>
      </c>
      <c r="L34" s="94">
        <v>5</v>
      </c>
      <c r="M34" s="11">
        <v>6</v>
      </c>
      <c r="N34" s="11">
        <v>6</v>
      </c>
      <c r="O34" s="11"/>
    </row>
    <row r="35" spans="1:15" x14ac:dyDescent="0.25">
      <c r="A35" s="9"/>
      <c r="B35" s="8" t="s">
        <v>165</v>
      </c>
      <c r="C35" s="11">
        <v>0</v>
      </c>
      <c r="D35" s="11">
        <v>0</v>
      </c>
      <c r="E35" s="11">
        <v>5</v>
      </c>
      <c r="F35" s="11">
        <v>0</v>
      </c>
      <c r="G35" s="11">
        <v>0</v>
      </c>
      <c r="H35" s="11">
        <v>5</v>
      </c>
      <c r="I35" s="11">
        <v>0</v>
      </c>
      <c r="J35" s="94">
        <v>0</v>
      </c>
      <c r="K35" s="97">
        <v>4</v>
      </c>
      <c r="L35" s="94">
        <v>5</v>
      </c>
      <c r="M35" s="11">
        <v>5</v>
      </c>
      <c r="N35" s="11">
        <v>5</v>
      </c>
      <c r="O35" s="11"/>
    </row>
    <row r="36" spans="1:15" x14ac:dyDescent="0.25">
      <c r="A36" s="9"/>
      <c r="B36" s="8" t="s">
        <v>140</v>
      </c>
      <c r="C36" s="11">
        <v>2</v>
      </c>
      <c r="D36" s="11">
        <v>2</v>
      </c>
      <c r="E36" s="11">
        <v>0</v>
      </c>
      <c r="F36" s="11">
        <v>0</v>
      </c>
      <c r="G36" s="11">
        <v>2</v>
      </c>
      <c r="H36" s="11">
        <v>2</v>
      </c>
      <c r="I36" s="11">
        <v>5</v>
      </c>
      <c r="J36" s="94">
        <v>3</v>
      </c>
      <c r="K36" s="97">
        <v>5</v>
      </c>
      <c r="L36" s="94">
        <v>4</v>
      </c>
      <c r="M36" s="11">
        <v>4</v>
      </c>
      <c r="N36" s="11">
        <v>0</v>
      </c>
      <c r="O36" s="11"/>
    </row>
    <row r="37" spans="1:15" x14ac:dyDescent="0.25">
      <c r="A37" s="9"/>
      <c r="B37" s="8" t="s">
        <v>42</v>
      </c>
      <c r="C37" s="11">
        <v>4</v>
      </c>
      <c r="D37" s="11">
        <v>4</v>
      </c>
      <c r="E37" s="11">
        <v>5</v>
      </c>
      <c r="F37" s="11">
        <v>2</v>
      </c>
      <c r="G37" s="11">
        <v>0</v>
      </c>
      <c r="H37" s="11">
        <v>4</v>
      </c>
      <c r="I37" s="11">
        <v>3</v>
      </c>
      <c r="J37" s="94">
        <v>4</v>
      </c>
      <c r="K37" s="97">
        <v>5</v>
      </c>
      <c r="L37" s="94">
        <v>5</v>
      </c>
      <c r="M37" s="11">
        <v>4</v>
      </c>
      <c r="N37" s="11">
        <v>5</v>
      </c>
      <c r="O37" s="11"/>
    </row>
    <row r="38" spans="1:15" x14ac:dyDescent="0.25">
      <c r="A38" s="9"/>
      <c r="B38" s="8" t="s">
        <v>6</v>
      </c>
      <c r="C38" s="11">
        <v>5</v>
      </c>
      <c r="D38" s="11">
        <v>5</v>
      </c>
      <c r="E38" s="11">
        <v>5</v>
      </c>
      <c r="F38" s="11">
        <v>2</v>
      </c>
      <c r="G38" s="11">
        <v>0</v>
      </c>
      <c r="H38" s="11">
        <v>5</v>
      </c>
      <c r="I38" s="11">
        <v>0</v>
      </c>
      <c r="J38" s="94">
        <v>1</v>
      </c>
      <c r="K38" s="97">
        <v>3</v>
      </c>
      <c r="L38" s="94">
        <v>4</v>
      </c>
      <c r="M38" s="11">
        <v>4</v>
      </c>
      <c r="N38" s="11">
        <v>5</v>
      </c>
      <c r="O38" s="11"/>
    </row>
    <row r="39" spans="1:15" x14ac:dyDescent="0.25">
      <c r="A39" s="7" t="s">
        <v>86</v>
      </c>
      <c r="B39" s="8" t="s">
        <v>85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</v>
      </c>
      <c r="J39" s="94">
        <v>0</v>
      </c>
      <c r="K39" s="97">
        <v>6</v>
      </c>
      <c r="L39" s="94">
        <v>0</v>
      </c>
      <c r="M39" s="11">
        <v>0</v>
      </c>
      <c r="N39" s="11">
        <v>0</v>
      </c>
      <c r="O39" s="11"/>
    </row>
    <row r="40" spans="1:15" x14ac:dyDescent="0.25">
      <c r="A40" s="9" t="s">
        <v>46</v>
      </c>
      <c r="B40" s="27" t="s">
        <v>61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94">
        <v>0</v>
      </c>
      <c r="K40" s="97">
        <v>6</v>
      </c>
      <c r="L40" s="94">
        <v>0</v>
      </c>
      <c r="M40" s="11">
        <v>0</v>
      </c>
      <c r="N40" s="11">
        <v>0</v>
      </c>
      <c r="O40" s="11"/>
    </row>
    <row r="41" spans="1:15" x14ac:dyDescent="0.25">
      <c r="A41" s="9"/>
      <c r="B41" s="27" t="s">
        <v>83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94">
        <v>0</v>
      </c>
      <c r="K41" s="97">
        <v>3</v>
      </c>
      <c r="L41" s="94">
        <v>0</v>
      </c>
      <c r="M41" s="11">
        <v>0</v>
      </c>
      <c r="N41" s="11">
        <v>0</v>
      </c>
      <c r="O41" s="11"/>
    </row>
    <row r="42" spans="1:15" x14ac:dyDescent="0.25">
      <c r="A42" s="7" t="s">
        <v>155</v>
      </c>
      <c r="B42" s="27" t="s">
        <v>156</v>
      </c>
      <c r="C42" s="11"/>
      <c r="D42" s="11"/>
      <c r="E42" s="11"/>
      <c r="F42" s="11"/>
      <c r="G42" s="11"/>
      <c r="H42" s="11"/>
      <c r="I42" s="11"/>
      <c r="J42" s="94"/>
      <c r="K42" s="97"/>
      <c r="L42" s="94"/>
      <c r="M42" s="11"/>
      <c r="N42" s="11"/>
      <c r="O42" s="11"/>
    </row>
    <row r="43" spans="1:15" x14ac:dyDescent="0.25">
      <c r="A43" s="9"/>
      <c r="B43" s="27"/>
      <c r="C43" s="11"/>
      <c r="D43" s="11"/>
      <c r="E43" s="11"/>
      <c r="F43" s="11"/>
      <c r="G43" s="11"/>
      <c r="H43" s="11"/>
      <c r="I43" s="11"/>
      <c r="J43" s="94"/>
      <c r="K43" s="97"/>
      <c r="L43" s="94"/>
      <c r="M43" s="11"/>
      <c r="N43" s="11"/>
      <c r="O43" s="11"/>
    </row>
    <row r="44" spans="1:15" x14ac:dyDescent="0.25">
      <c r="A44" s="10"/>
      <c r="B44" s="8"/>
      <c r="C44" s="11"/>
      <c r="D44" s="11"/>
      <c r="E44" s="11"/>
      <c r="F44" s="11"/>
      <c r="G44" s="11"/>
      <c r="H44" s="11"/>
      <c r="I44" s="11"/>
      <c r="J44" s="94"/>
      <c r="K44" s="97"/>
      <c r="L44" s="94"/>
      <c r="M44" s="11"/>
      <c r="N44" s="11"/>
      <c r="O44" s="11"/>
    </row>
    <row r="45" spans="1:15" x14ac:dyDescent="0.25">
      <c r="A45" s="28" t="s">
        <v>38</v>
      </c>
      <c r="B45" s="14"/>
      <c r="C45" s="14"/>
      <c r="D45" s="14"/>
      <c r="E45" s="14"/>
      <c r="F45" s="14"/>
      <c r="G45" s="14"/>
      <c r="H45" s="14"/>
      <c r="I45" s="14"/>
      <c r="J45" s="14"/>
      <c r="K45" s="96"/>
      <c r="L45" s="14"/>
      <c r="M45" s="33"/>
      <c r="N45" s="33"/>
      <c r="O45" s="33"/>
    </row>
    <row r="46" spans="1:15" x14ac:dyDescent="0.25">
      <c r="A46" s="8" t="s">
        <v>39</v>
      </c>
      <c r="B46" s="8" t="s">
        <v>122</v>
      </c>
      <c r="C46" s="1">
        <v>6</v>
      </c>
      <c r="D46" s="1">
        <v>6</v>
      </c>
      <c r="E46" s="1">
        <v>5</v>
      </c>
      <c r="F46" s="1">
        <v>6</v>
      </c>
      <c r="G46" s="1">
        <v>4</v>
      </c>
      <c r="H46" s="1">
        <v>5</v>
      </c>
      <c r="I46" s="1">
        <v>4</v>
      </c>
      <c r="J46" s="95">
        <v>6</v>
      </c>
      <c r="K46" s="98">
        <v>4</v>
      </c>
      <c r="L46" s="95">
        <v>5</v>
      </c>
      <c r="M46" s="1">
        <v>5</v>
      </c>
      <c r="N46" s="1">
        <v>6</v>
      </c>
      <c r="O46" s="1"/>
    </row>
    <row r="47" spans="1:15" x14ac:dyDescent="0.25">
      <c r="A47" s="8" t="s">
        <v>40</v>
      </c>
      <c r="B47" s="8" t="s">
        <v>121</v>
      </c>
      <c r="C47" s="1">
        <v>4</v>
      </c>
      <c r="D47" s="1">
        <v>4</v>
      </c>
      <c r="E47" s="1">
        <v>5</v>
      </c>
      <c r="F47" s="1">
        <v>4</v>
      </c>
      <c r="G47" s="1">
        <v>5</v>
      </c>
      <c r="H47" s="1">
        <v>4</v>
      </c>
      <c r="I47" s="1">
        <v>4</v>
      </c>
      <c r="J47" s="95">
        <v>4</v>
      </c>
      <c r="K47" s="98">
        <v>4</v>
      </c>
      <c r="L47" s="95">
        <v>5</v>
      </c>
      <c r="M47" s="1">
        <v>5</v>
      </c>
      <c r="N47" s="1">
        <v>4</v>
      </c>
      <c r="O47" s="1"/>
    </row>
    <row r="48" spans="1:15" x14ac:dyDescent="0.25">
      <c r="A48" s="8" t="s">
        <v>136</v>
      </c>
      <c r="B48" s="8" t="s">
        <v>137</v>
      </c>
      <c r="C48" s="1"/>
      <c r="D48" s="1"/>
      <c r="E48" s="1"/>
      <c r="F48" s="1"/>
      <c r="G48" s="1"/>
      <c r="H48" s="1"/>
      <c r="I48" s="1"/>
      <c r="J48" s="95"/>
      <c r="K48" s="98"/>
      <c r="L48" s="95"/>
      <c r="M48" s="1"/>
      <c r="N48" s="1"/>
      <c r="O48" s="1"/>
    </row>
  </sheetData>
  <conditionalFormatting sqref="Q7:Q13">
    <cfRule type="colorScale" priority="6">
      <colorScale>
        <cfvo type="min"/>
        <cfvo type="num" val="3"/>
        <cfvo type="max"/>
        <color theme="2"/>
        <color rgb="FFFFEB84"/>
        <color rgb="FF63BE7B"/>
      </colorScale>
    </cfRule>
  </conditionalFormatting>
  <conditionalFormatting sqref="C7:O48">
    <cfRule type="colorScale" priority="14">
      <colorScale>
        <cfvo type="min"/>
        <cfvo type="num" val="3"/>
        <cfvo type="max"/>
        <color theme="2"/>
        <color rgb="FFFFEB84"/>
        <color rgb="FF63BE7B"/>
      </colorScale>
    </cfRule>
  </conditionalFormatting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Concepts</vt:lpstr>
      <vt:lpstr>Options</vt:lpstr>
      <vt:lpstr>Lego Blocks</vt:lpstr>
      <vt:lpstr>Sci-Comp</vt:lpstr>
      <vt:lpstr>Speed_of_light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2017-06-28T15:11:49Z</dcterms:modified>
</cp:coreProperties>
</file>